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610" windowHeight="4545" tabRatio="701" activeTab="0"/>
  </bookViews>
  <sheets>
    <sheet name="Introduction" sheetId="1" r:id="rId1"/>
    <sheet name="traffic" sheetId="2" r:id="rId2"/>
    <sheet name="routes" sheetId="3" r:id="rId3"/>
    <sheet name="input" sheetId="4" r:id="rId4"/>
    <sheet name="impact" sheetId="5" r:id="rId5"/>
    <sheet name="daily" sheetId="6" r:id="rId6"/>
    <sheet name="constr" sheetId="7" r:id="rId7"/>
  </sheets>
  <definedNames>
    <definedName name="Adjustments_to_User_Cost">'daily'!$F$3</definedName>
    <definedName name="AllowedCycles" localSheetId="1">'traffic'!$I$419</definedName>
    <definedName name="Bdist_Overall" localSheetId="1">'traffic'!$I$134:$I$157</definedName>
    <definedName name="Bdist_Traffic" localSheetId="1">'traffic'!$L$237:$L$260</definedName>
    <definedName name="Beop" localSheetId="1">'traffic'!$H$134:$H$157</definedName>
    <definedName name="Beop_Combo" localSheetId="1">'traffic'!$H$381:$H$404</definedName>
    <definedName name="Beop_Overall" localSheetId="1">'traffic'!$H$134:$H$157</definedName>
    <definedName name="Beop_Traffic" localSheetId="1">'traffic'!$K$237:$K$260</definedName>
    <definedName name="Bottom" localSheetId="1">'traffic'!$B$541</definedName>
    <definedName name="C.S.range" localSheetId="1">'traffic'!$I$112</definedName>
    <definedName name="C.S.threshold" localSheetId="1">'traffic'!$H$112</definedName>
    <definedName name="C_" localSheetId="1">'traffic'!$C$134:$C$157</definedName>
    <definedName name="Capacity_Combo" localSheetId="1">'traffic'!$C$381:$C$404</definedName>
    <definedName name="Capacity_Overall" localSheetId="1">'traffic'!$C$134:$C$157</definedName>
    <definedName name="Capacity_Traffic" localSheetId="1">'traffic'!$C$237:$C$260</definedName>
    <definedName name="Capacity_UserCost" localSheetId="1">'traffic'!$C$309:$C$332</definedName>
    <definedName name="Cdec.p.range" localSheetId="1">'traffic'!$I$116</definedName>
    <definedName name="Cdec.p.threshold" localSheetId="1">'traffic'!$H$116</definedName>
    <definedName name="CheckSumCalcRange" localSheetId="1">'traffic'!$B$452:$R$541</definedName>
    <definedName name="CheckSumCalcRange_11" localSheetId="1">'traffic'!$H$453:$H$541</definedName>
    <definedName name="CheckSumCalcRange_12" localSheetId="1">'traffic'!$I$453:$I$541</definedName>
    <definedName name="CheckSumCalcRange_21" localSheetId="1">'traffic'!$K$453:$K$541</definedName>
    <definedName name="CheckSumCalcRange_22" localSheetId="1">'traffic'!$L$453:$L$541</definedName>
    <definedName name="CheckSumCalcRange_31" localSheetId="1">'traffic'!$N$453:$N$541</definedName>
    <definedName name="CheckSumCalcRange_32" localSheetId="1">'traffic'!$O$453:$O$541</definedName>
    <definedName name="CheckSumCalcRange_41" localSheetId="1">'traffic'!$Q$453:$Q$541</definedName>
    <definedName name="CheckSumCalcRange_42" localSheetId="1">'traffic'!$R$453:$R$541</definedName>
    <definedName name="CheckSumCalcRangeCommon" localSheetId="1">'traffic'!$D$453:$E$507</definedName>
    <definedName name="CheckSumCurrent_11" localSheetId="1">'traffic'!$H$538</definedName>
    <definedName name="CheckSumCurrent_12" localSheetId="1">'traffic'!$I$538</definedName>
    <definedName name="CheckSumCurrent_21" localSheetId="1">'traffic'!$K$538</definedName>
    <definedName name="CheckSumCurrent_22" localSheetId="1">'traffic'!$L$538</definedName>
    <definedName name="CheckSumCurrent_31" localSheetId="1">'traffic'!$N$538</definedName>
    <definedName name="CheckSumCurrent_32" localSheetId="1">'traffic'!$O$538</definedName>
    <definedName name="CheckSumCurrent_41" localSheetId="1">'traffic'!$Q$538</definedName>
    <definedName name="CheckSumCurrent_42" localSheetId="1">'traffic'!$R$538</definedName>
    <definedName name="CheckSumSaved_11" localSheetId="1">'traffic'!$H$539</definedName>
    <definedName name="CheckSumSaved_12" localSheetId="1">'traffic'!$I$539</definedName>
    <definedName name="CheckSumSaved_21" localSheetId="1">'traffic'!$K$539</definedName>
    <definedName name="CheckSumSaved_22" localSheetId="1">'traffic'!$L$539</definedName>
    <definedName name="CheckSumSaved_31" localSheetId="1">'traffic'!$N$539</definedName>
    <definedName name="CheckSumSaved_32" localSheetId="1">'traffic'!$O$539</definedName>
    <definedName name="CheckSumSaved_41" localSheetId="1">'traffic'!$Q$539</definedName>
    <definedName name="CheckSumSaved_42" localSheetId="1">'traffic'!$R$539</definedName>
    <definedName name="CheckSumValidity" localSheetId="1">'traffic'!$H$532:$R$541</definedName>
    <definedName name="CheckSumValidity_11" localSheetId="1">'traffic'!$H$541</definedName>
    <definedName name="CheckSumValidity_12" localSheetId="1">'traffic'!$I$541</definedName>
    <definedName name="CheckSumValidity_21" localSheetId="1">'traffic'!$K$541</definedName>
    <definedName name="CheckSumValidity_22" localSheetId="1">'traffic'!$L$541</definedName>
    <definedName name="CheckSumValidity_31" localSheetId="1">'traffic'!$N$541</definedName>
    <definedName name="CheckSumValidity_32" localSheetId="1">'traffic'!$O$541</definedName>
    <definedName name="CheckSumValidity_41" localSheetId="1">'traffic'!$Q$541</definedName>
    <definedName name="CheckSumValidity_42" localSheetId="1">'traffic'!$R$541</definedName>
    <definedName name="ComboArea" localSheetId="1">'traffic'!$A$340:$S$408</definedName>
    <definedName name="ComboMiddle" localSheetId="1">'traffic'!$A$376</definedName>
    <definedName name="ComboTop" localSheetId="1">'traffic'!$A$340</definedName>
    <definedName name="ConvergeMethod" localSheetId="1">'traffic'!$I$421</definedName>
    <definedName name="Da" localSheetId="1">'traffic'!$F$134:$F$157</definedName>
    <definedName name="Da_Combo" localSheetId="1">'traffic'!$D$381:$D$404</definedName>
    <definedName name="Da_Overall" localSheetId="1">'traffic'!$F$134:$F$157</definedName>
    <definedName name="Da_Traffic" localSheetId="1">'traffic'!$F$237:$F$260</definedName>
    <definedName name="Da_UserCost" localSheetId="1">'traffic'!$D$309:$D$332</definedName>
    <definedName name="Daily_Cost_View" localSheetId="5">'daily'!$R$4:$AT$43</definedName>
    <definedName name="Daily_Cost_View_Exmpl" localSheetId="5">'daily'!$R$4:$AT$50</definedName>
    <definedName name="DailyCostViewTop">'daily'!$R$4</definedName>
    <definedName name="DailySheetUserCostViewTop">'daily'!$A$1</definedName>
    <definedName name="Dcan.car" localSheetId="1">'traffic'!$C$166:$C$189</definedName>
    <definedName name="Dcan.p.car.w.del.C.range" localSheetId="1">'traffic'!$I$119</definedName>
    <definedName name="Dcan.p.car.w.del.C.threshold" localSheetId="1">'traffic'!$H$119</definedName>
    <definedName name="Dcan.p.car.wo.del.C.range" localSheetId="1">'traffic'!$I$117</definedName>
    <definedName name="Dcan.p.car.wo.del.C.threshold" localSheetId="1">'traffic'!$H$117</definedName>
    <definedName name="Dcan.p.truck.w.del.C.range" localSheetId="1">'traffic'!$I$120</definedName>
    <definedName name="Dcan.p.truck.w.del.C.threshold" localSheetId="1">'traffic'!$H$120</definedName>
    <definedName name="Dcan.p.truck.wo.del.C.range" localSheetId="1">'traffic'!$I$118</definedName>
    <definedName name="Dcan.p.truck.wo.del.C.threshold" localSheetId="1">'traffic'!$H$118</definedName>
    <definedName name="Dcan.truck" localSheetId="1">'traffic'!$D$166:$D$189</definedName>
    <definedName name="Ddec" localSheetId="1">'traffic'!$K$166:$K$189</definedName>
    <definedName name="Ddec.car" localSheetId="1">'traffic'!$C$166:$C$189</definedName>
    <definedName name="Ddec.car_Overall" localSheetId="1">'traffic'!$C$166:$C$189</definedName>
    <definedName name="Ddec.car_Traffic" localSheetId="1">'traffic'!$H$237:$H$260</definedName>
    <definedName name="Ddec.p.con.car.C.range" localSheetId="1">'traffic'!$I$116</definedName>
    <definedName name="Ddec.p.con.car.C.threshold" localSheetId="1">'traffic'!$H$116</definedName>
    <definedName name="Ddec.p.con.truck.C.range" localSheetId="1">'traffic'!$I$117</definedName>
    <definedName name="Ddec.p.con.truck.C.threshold" localSheetId="1">'traffic'!$H$117</definedName>
    <definedName name="Ddec.p.var.car.C.range" localSheetId="1">'traffic'!$I$118</definedName>
    <definedName name="Ddec.p.var.car.C.threshold" localSheetId="1">'traffic'!$H$118</definedName>
    <definedName name="Ddec.p.var.truck.C.range" localSheetId="1">'traffic'!$I$119</definedName>
    <definedName name="Ddec.p.var.truck.C.threshold" localSheetId="1">'traffic'!$H$119</definedName>
    <definedName name="Ddec.truck" localSheetId="1">'traffic'!$D$166:$D$189</definedName>
    <definedName name="Ddec.truck_Overall" localSheetId="1">'traffic'!$D$166:$D$189</definedName>
    <definedName name="Ddec.truck_Traffic" localSheetId="1">'traffic'!$I$237:$I$260</definedName>
    <definedName name="Ddec.trucks_UserCost" localSheetId="1">'traffic'!$I$309:$I$332</definedName>
    <definedName name="Ddec_Combo" localSheetId="1">'traffic'!$E$381:$E$404</definedName>
    <definedName name="Ddec_Overall" localSheetId="1">'traffic'!$K$166:$K$189</definedName>
    <definedName name="Ddec_UserCost" localSheetId="1">'traffic'!$F$309:$F$332</definedName>
    <definedName name="Ddes">#REF!</definedName>
    <definedName name="Ddes.p.truck">#REF!</definedName>
    <definedName name="Ddiv.car" localSheetId="1">'traffic'!$E$166:$E$189</definedName>
    <definedName name="Ddiv.p.car.w.del.C.range" localSheetId="1">'traffic'!$I$123</definedName>
    <definedName name="Ddiv.p.car.w.del.C.threshold" localSheetId="1">'traffic'!$H$123</definedName>
    <definedName name="Ddiv.p.car.wo.del.C.range" localSheetId="1">'traffic'!$I$121</definedName>
    <definedName name="Ddiv.p.car.wo.del.C.threshold" localSheetId="1">'traffic'!$H$121</definedName>
    <definedName name="Ddiv.p.truck.w.del.C.range" localSheetId="1">'traffic'!$I$124</definedName>
    <definedName name="Ddiv.p.truck.w.del.C.threshold" localSheetId="1">'traffic'!$H$124</definedName>
    <definedName name="Ddiv.p.truck.wo.del.C.range" localSheetId="1">'traffic'!$I$122</definedName>
    <definedName name="Ddiv.p.truck.wo.del.C.threshold" localSheetId="1">'traffic'!$H$122</definedName>
    <definedName name="Ddiv.truck" localSheetId="1">'traffic'!$F$166:$F$189</definedName>
    <definedName name="DemandHist_Overall" localSheetId="1">'traffic'!$D$134:$D$157</definedName>
    <definedName name="DemandHist_Traffic" localSheetId="1">'traffic'!$D$237:$D$260</definedName>
    <definedName name="Detailed_Cost_View" localSheetId="5">'daily'!$K$9:$P$40</definedName>
    <definedName name="Detailed_Cost_View_Exmpl" localSheetId="5">'daily'!$K$9:$P$54</definedName>
    <definedName name="DetailedCostViewTop">'daily'!$K$8</definedName>
    <definedName name="DirctnNo_Overall" localSheetId="1">'traffic'!$K$433</definedName>
    <definedName name="Draw" localSheetId="1">'traffic'!$E$134:$E$157</definedName>
    <definedName name="Draw.p.truck" localSheetId="1">'traffic'!$F$99</definedName>
    <definedName name="Draw_Overall" localSheetId="1">'traffic'!$E$134:$E$157</definedName>
    <definedName name="Draw_Traffic" localSheetId="1">'traffic'!$E$237:$E$260</definedName>
    <definedName name="eD.allowed" localSheetId="1">'traffic'!$I$416</definedName>
    <definedName name="eD.avg" localSheetId="1">'traffic'!$I$418</definedName>
    <definedName name="edel.allowed" localSheetId="1">'traffic'!$I$413</definedName>
    <definedName name="edel.avg" localSheetId="1">'traffic'!$I$417</definedName>
    <definedName name="End_of_Sheet">'daily'!$CA$106</definedName>
    <definedName name="ES" localSheetId="1">'traffic'!$I$411</definedName>
    <definedName name="Flag">#REF!</definedName>
    <definedName name="Horizontal_Print_Area" localSheetId="4">'impact'!$A$34:$Q$83</definedName>
    <definedName name="L.B" localSheetId="1">'traffic'!$I$412</definedName>
    <definedName name="Ldiversion" localSheetId="1">'traffic'!$H$110</definedName>
    <definedName name="Lzone.method" localSheetId="1">'traffic'!$H$107</definedName>
    <definedName name="Lzone.normal" localSheetId="1">'traffic'!$H$108</definedName>
    <definedName name="MaxCycles" localSheetId="1">'traffic'!$I$423</definedName>
    <definedName name="MaxCyclesI" localSheetId="1">'traffic'!$I$424</definedName>
    <definedName name="MaxPeriods" localSheetId="1">'traffic'!$I$425</definedName>
    <definedName name="MaxPeriodsI" localSheetId="1">'traffic'!$I$426</definedName>
    <definedName name="MethodDistance" localSheetId="1">'traffic'!$H$126</definedName>
    <definedName name="MethodNo_Overall" localSheetId="1">'traffic'!$K$430</definedName>
    <definedName name="NormalDistance" localSheetId="1">'traffic'!$F$104</definedName>
    <definedName name="OutputSummary" localSheetId="1">'traffic'!$I$429:$I$446</definedName>
    <definedName name="OverallArea" localSheetId="1">'traffic'!$A$93:$V$193</definedName>
    <definedName name="OverallBottom" localSheetId="1">'traffic'!$A$161</definedName>
    <definedName name="OverallBsop.1" localSheetId="1">'traffic'!$F$130</definedName>
    <definedName name="OverallDirctn" localSheetId="1">'traffic'!$C$130</definedName>
    <definedName name="OverallInputDirctn" localSheetId="1">'traffic'!$H$121:$H$127</definedName>
    <definedName name="OverallInputGeneral" localSheetId="1">'traffic'!$E$95</definedName>
    <definedName name="OverallInputMethod" localSheetId="1">'traffic'!$H$104:$I$128</definedName>
    <definedName name="OverallInputProject" localSheetId="1">'traffic'!$H$95:$U$100</definedName>
    <definedName name="OverallMiddle" localSheetId="1">'traffic'!$A$129</definedName>
    <definedName name="OverallPrintArea" localSheetId="1">'traffic'!$A$93:$V$193</definedName>
    <definedName name="OverallSummaryOutput" localSheetId="1">'traffic'!$T$107:$T$124</definedName>
    <definedName name="OverallTop" localSheetId="1">'traffic'!$A$93</definedName>
    <definedName name="OverallViewArea" localSheetId="1">'traffic'!$B$95:$U$192</definedName>
    <definedName name="PeriodCost_Exmpl" localSheetId="5">'daily'!$K$9:$P$54</definedName>
    <definedName name="PeriodCostView" localSheetId="5">'daily'!$F$8:$H$40</definedName>
    <definedName name="PeriodCostView_Total">#REF!</definedName>
    <definedName name="PeriodCostView_Total_Exmpl">#REF!</definedName>
    <definedName name="PeriodCostViewWithInput">'daily'!$F$3:$H$40</definedName>
    <definedName name="PeriodLength" localSheetId="1">'traffic'!$F$95</definedName>
    <definedName name="Periods_Combo" localSheetId="1">'traffic'!$B$381:$B$404</definedName>
    <definedName name="Periods_Overall" localSheetId="1">'traffic'!$B$134:$B$157</definedName>
    <definedName name="Periods_Traffic" localSheetId="1">'traffic'!$B$237:$B$260</definedName>
    <definedName name="Periods_UserCost" localSheetId="1">'traffic'!$B$309:$B$332</definedName>
    <definedName name="_xlnm.Print_Area" localSheetId="6">'constr'!$A$1:$G$85</definedName>
    <definedName name="_xlnm.Print_Area" localSheetId="5">'daily'!$R$4:$AT$43</definedName>
    <definedName name="_xlnm.Print_Area" localSheetId="4">'impact'!$A$34:$Q$83</definedName>
    <definedName name="_xlnm.Print_Area" localSheetId="3">'input'!$A$1:$D$56</definedName>
    <definedName name="_xlnm.Print_Area" localSheetId="2">'routes'!$A$1:$M$42</definedName>
    <definedName name="_xlnm.Print_Area" localSheetId="1">'traffic'!$A$2:$S$90</definedName>
    <definedName name="Project_Cost_View">'daily'!$AW$56:$BZ$105</definedName>
    <definedName name="ProjectCostViewTop">'daily'!$AW$56</definedName>
    <definedName name="ReportCycles" localSheetId="1">'traffic'!$I$420</definedName>
    <definedName name="Sdiv" localSheetId="1">'traffic'!$I$110</definedName>
    <definedName name="Srange.0" localSheetId="1">'traffic'!$I$113</definedName>
    <definedName name="Srange.C" localSheetId="1">'traffic'!$I$114</definedName>
    <definedName name="Sthreshold.0" localSheetId="1">'traffic'!$H$113</definedName>
    <definedName name="Sthreshold.C" localSheetId="1">'traffic'!$H$114</definedName>
    <definedName name="SummaryArea" localSheetId="1">'traffic'!$A$2:$S$90</definedName>
    <definedName name="SummaryBsop1.11" localSheetId="1">'traffic'!$H$40</definedName>
    <definedName name="SummaryBsop1.12" localSheetId="1">'traffic'!$I$40</definedName>
    <definedName name="SummaryBsop1.21" localSheetId="1">'traffic'!$K$40</definedName>
    <definedName name="SummaryBsop1.22" localSheetId="1">'traffic'!$L$40</definedName>
    <definedName name="SummaryBsop1.31" localSheetId="1">'traffic'!$N$40</definedName>
    <definedName name="SummaryBsop1.32" localSheetId="1">'traffic'!$O$40</definedName>
    <definedName name="SummaryBsop1.41" localSheetId="1">'traffic'!$Q$40</definedName>
    <definedName name="SummaryBsop1.42" localSheetId="1">'traffic'!$R$40</definedName>
    <definedName name="SummaryCapacity11" localSheetId="1">'traffic'!$H$44:$H$67</definedName>
    <definedName name="SummaryCapacity12" localSheetId="1">'traffic'!$I$44:$I$67</definedName>
    <definedName name="SummaryCapacity21" localSheetId="1">'traffic'!$K$44:$K$67</definedName>
    <definedName name="SummaryCapacity22" localSheetId="1">'traffic'!$L$44:$L$67</definedName>
    <definedName name="SummaryCapacity31" localSheetId="1">'traffic'!$N$44:$N$67</definedName>
    <definedName name="SummaryCapacity32" localSheetId="1">'traffic'!$O$44:$O$67</definedName>
    <definedName name="SummaryCapacity41" localSheetId="1">'traffic'!$Q$44:$Q$67</definedName>
    <definedName name="SummaryCapacity42" localSheetId="1">'traffic'!$R$44:$R$67</definedName>
    <definedName name="SummaryDemandHist1" localSheetId="1">'traffic'!$C$44:$C$67</definedName>
    <definedName name="SummaryDemandHist2" localSheetId="1">'traffic'!$D$44:$D$67</definedName>
    <definedName name="SummaryDemandRaw" localSheetId="1">'traffic'!$E$44:$F$68</definedName>
    <definedName name="SummaryDemandRaw1" localSheetId="1">'traffic'!$E$44:$E$67</definedName>
    <definedName name="SummaryDemandRaw2" localSheetId="1">'traffic'!$F$44:$F$67</definedName>
    <definedName name="SummaryDirctn11" localSheetId="1">'traffic'!$H$41</definedName>
    <definedName name="SummaryDirctn12" localSheetId="1">'traffic'!$I$41</definedName>
    <definedName name="SummaryDirctn21" localSheetId="1">'traffic'!$K$41</definedName>
    <definedName name="SummaryDirctn22" localSheetId="1">'traffic'!$L$41</definedName>
    <definedName name="SummaryDirctn31" localSheetId="1">'traffic'!$N$41</definedName>
    <definedName name="SummaryDirctn32" localSheetId="1">'traffic'!$O$41</definedName>
    <definedName name="SummaryDirctn41" localSheetId="1">'traffic'!$Q$41</definedName>
    <definedName name="SummaryDirctn42" localSheetId="1">'traffic'!$R$41</definedName>
    <definedName name="SummaryFlag1">#REF!</definedName>
    <definedName name="SummaryFlag2">#REF!</definedName>
    <definedName name="SummaryFlag3">#REF!</definedName>
    <definedName name="SummaryFlag4">#REF!</definedName>
    <definedName name="SummaryHome" localSheetId="1">'traffic'!$A$2</definedName>
    <definedName name="SummaryInput" localSheetId="1">'traffic'!$B$4:$R$41</definedName>
    <definedName name="SummaryInputGeneral" localSheetId="1">'traffic'!$E$4:$F$11</definedName>
    <definedName name="SummaryInputMethod1" localSheetId="1">'traffic'!$H$13:$I$37</definedName>
    <definedName name="SummaryInputMethod2" localSheetId="1">'traffic'!$K$13:$L$37</definedName>
    <definedName name="SummaryInputMethod3" localSheetId="1">'traffic'!$N$13:$O$37</definedName>
    <definedName name="SummaryInputMethod4" localSheetId="1">'traffic'!$Q$13:$R$37</definedName>
    <definedName name="SummaryInputProject" localSheetId="1">'traffic'!$H$4:$R$9</definedName>
    <definedName name="SummaryMiddle" localSheetId="1">'traffic'!$B$38</definedName>
    <definedName name="SummaryOutput" localSheetId="1">'traffic'!$H$71:$R$88</definedName>
    <definedName name="SummaryOutput11" localSheetId="1">'traffic'!$H$71:$H$88</definedName>
    <definedName name="SummaryOutput12" localSheetId="1">'traffic'!$I$71:$I$88</definedName>
    <definedName name="SummaryOutput21" localSheetId="1">'traffic'!$K$71:$K$88</definedName>
    <definedName name="SummaryOutput22" localSheetId="1">'traffic'!$L$71:$L$88</definedName>
    <definedName name="SummaryOutput31" localSheetId="1">'traffic'!$N$71:$N$88</definedName>
    <definedName name="SummaryOutput32" localSheetId="1">'traffic'!$O$71:$O$88</definedName>
    <definedName name="SummaryOutput41" localSheetId="1">'traffic'!$Q$71:$Q$88</definedName>
    <definedName name="SummaryOutput42" localSheetId="1">'traffic'!$R$71:$R$88</definedName>
    <definedName name="SummaryOutputTitle" localSheetId="1">'traffic'!$H$69:$R$69</definedName>
    <definedName name="SummaryOutputValidity" localSheetId="1">'traffic'!$H$89:$R$89</definedName>
    <definedName name="SummaryPeriods" localSheetId="1">'traffic'!$B$44:$B$67</definedName>
    <definedName name="Szone.normal" localSheetId="1">'traffic'!$I$108</definedName>
    <definedName name="Tdel" localSheetId="1">'traffic'!$L$134:$L$157</definedName>
    <definedName name="Tdel.B.V" localSheetId="1">'traffic'!$N$134:$N$157</definedName>
    <definedName name="Tdel.B.V_Combo" localSheetId="1">'traffic'!$K$381:$K$404</definedName>
    <definedName name="Tdel.B.V_Overall" localSheetId="1">'traffic'!$N$134:$N$157</definedName>
    <definedName name="Tdel.B.V_Traffic" localSheetId="1">'traffic'!$O$237:$O$260</definedName>
    <definedName name="Tdel.S.V" localSheetId="1">'traffic'!$O$134:$O$157</definedName>
    <definedName name="Tdel.S.V_Combo" localSheetId="1">'traffic'!$L$381:$L$404</definedName>
    <definedName name="Tdel.S.V_Overall" localSheetId="1">'traffic'!$O$134:$O$157</definedName>
    <definedName name="Tdel.S.V_Traffic" localSheetId="1">'traffic'!$Q$237:$Q$260</definedName>
    <definedName name="Tdel.V.max" localSheetId="1">'traffic'!$K$134:$K$157</definedName>
    <definedName name="Tdel.V.max_Combo" localSheetId="1">'traffic'!$I$381:$I$404</definedName>
    <definedName name="Tdel.V.max_Overall" localSheetId="1">'traffic'!$K$134:$K$157</definedName>
    <definedName name="Tdel.V.max_Traffic" localSheetId="1">'traffic'!$N$237:$N$260</definedName>
    <definedName name="Tdel_Combo" localSheetId="1">'traffic'!$F$381:$F$404</definedName>
    <definedName name="Tdel_Overall" localSheetId="1">'traffic'!$L$134:$L$157</definedName>
    <definedName name="Tdel_Traffic" localSheetId="1">'traffic'!$R$237:$R$260</definedName>
    <definedName name="Tdel_UserCost" localSheetId="1">'traffic'!$E$309:$E$332</definedName>
    <definedName name="Times_1" localSheetId="1">'traffic'!$N$437</definedName>
    <definedName name="Times_2" localSheetId="1">'traffic'!$N$438</definedName>
    <definedName name="Times_3" localSheetId="1">'traffic'!$N$439</definedName>
    <definedName name="Times_4" localSheetId="1">'traffic'!$N$440</definedName>
    <definedName name="Times_5" localSheetId="1">'traffic'!$N$441</definedName>
    <definedName name="Times_6" localSheetId="1">'traffic'!$N$442</definedName>
    <definedName name="Times_7" localSheetId="1">'traffic'!$N$443</definedName>
    <definedName name="TotalCycles" localSheetId="1">'traffic'!$I$422</definedName>
    <definedName name="TrafficArea" localSheetId="1">'traffic'!$A$196:$S$264</definedName>
    <definedName name="TrafficMiddle" localSheetId="1">'traffic'!$A$232</definedName>
    <definedName name="tRAFFICSummaryOutput" localSheetId="1">'traffic'!$Q$210:$Q$227</definedName>
    <definedName name="TrafficTop" localSheetId="1">'traffic'!$A$196</definedName>
    <definedName name="U.V_Overall" localSheetId="1">'traffic'!$T$134:$T$157</definedName>
    <definedName name="U.V_UserCost" localSheetId="1">'traffic'!$R$309:$R$332</definedName>
    <definedName name="U_Combo" localSheetId="1">'traffic'!$Q$381:$Q$404</definedName>
    <definedName name="U_Overall" localSheetId="1">'traffic'!$U$166:$U$189</definedName>
    <definedName name="U_UserCost" localSheetId="1">'traffic'!$Q$309:$Q$332</definedName>
    <definedName name="Udec.cars_Overall" localSheetId="1">'traffic'!$L$166:$L$189</definedName>
    <definedName name="Udec.cars_UserCost" localSheetId="1">'traffic'!$H$309:$H$332</definedName>
    <definedName name="Udec.trucks_Overall" localSheetId="1">'traffic'!$N$166:$N$189</definedName>
    <definedName name="Udec.trucks_UserCost" localSheetId="1">'traffic'!$I$309:$I$332</definedName>
    <definedName name="Udec_Combo" localSheetId="1">'traffic'!$N$381:$N$404</definedName>
    <definedName name="Udec_Overall" localSheetId="1">'traffic'!$R$166:$R$189</definedName>
    <definedName name="Udec_UserCost" localSheetId="1">'traffic'!$N$309:$N$332</definedName>
    <definedName name="Udel.cars_Overall" localSheetId="1">'traffic'!$O$166:$O$189</definedName>
    <definedName name="Udel.cars_UserCost" localSheetId="1">'traffic'!$K$309:$K$332</definedName>
    <definedName name="Udel.trucks_Overall" localSheetId="1">'traffic'!$Q$166:$Q$189</definedName>
    <definedName name="Udel.trucks_UserCost" localSheetId="1">'traffic'!$L$309:$L$332</definedName>
    <definedName name="Udel.V.Da_Combo" localSheetId="1">'traffic'!$R$381:$R$404</definedName>
    <definedName name="Udel.V.Da_Overall" localSheetId="1">'traffic'!$U$134:$U$157</definedName>
    <definedName name="Udel_Combo" localSheetId="1">'traffic'!$O$381:$O$404</definedName>
    <definedName name="Udel_Overall" localSheetId="1">'traffic'!$T$166:$T$189</definedName>
    <definedName name="Udel_UserCost" localSheetId="1">'traffic'!$O$309:$O$332</definedName>
    <definedName name="UserCostArea" localSheetId="1">'traffic'!$A$268:$S$336</definedName>
    <definedName name="UserCostMiddle" localSheetId="1">'traffic'!$A$304</definedName>
    <definedName name="UserCostTop" localSheetId="1">'traffic'!$A$268</definedName>
    <definedName name="UserCostView" localSheetId="5">'daily'!$A$8:$C$40</definedName>
    <definedName name="ValidAutoStatus" localSheetId="1">'traffic'!$B$533</definedName>
    <definedName name="Validity" localSheetId="1">'traffic'!$B$89</definedName>
    <definedName name="ValidNowStatus" localSheetId="1">'traffic'!$B$539</definedName>
    <definedName name="ValidPrintStatus" localSheetId="1">'traffic'!$B$536</definedName>
    <definedName name="Vertical_Print_Area" localSheetId="4">'impact'!$A$34:$K$83</definedName>
    <definedName name="ViewPrintAreas" localSheetId="1">'traffic'!$A$2:$S$408</definedName>
    <definedName name="ViewsCalcRange" localSheetId="1">'traffic'!$B$4:$U$447</definedName>
    <definedName name="wrn.All._.Views." localSheetId="6" hidden="1">{"Summary",#N/A,TRUE,"Fast Report";"Traffic",#N/A,TRUE,"Fast Report";"User Cost",#N/A,TRUE,"Fast Report";"Combined",#N/A,TRUE,"Fast Report";"Overall",#N/A,TRUE,"Fast Report"}</definedName>
    <definedName name="wrn.All._.Views." localSheetId="4" hidden="1">{"Summary",#N/A,TRUE,"Fast Report";"Traffic",#N/A,TRUE,"Fast Report";"User Cost",#N/A,TRUE,"Fast Report";"Combined",#N/A,TRUE,"Fast Report";"Overall",#N/A,TRUE,"Fast Report"}</definedName>
    <definedName name="wrn.Calculation._.Sheet." localSheetId="6" hidden="1">{"Calculation Sheet",#N/A,FALSE,"Traffic"}</definedName>
    <definedName name="wrn.Calculation._.Sheet." localSheetId="4" hidden="1">{"Calculation Sheet",#N/A,FALSE,"Traffic"}</definedName>
    <definedName name="wrn.Combined._.View." localSheetId="6" hidden="1">{"Combined",#N/A,FALSE,"Fast Report"}</definedName>
    <definedName name="wrn.Combined._.View." localSheetId="4" hidden="1">{"Combined",#N/A,FALSE,"Fast Report"}</definedName>
    <definedName name="wrn.Overall._.View." localSheetId="6" hidden="1">{"Overall",#N/A,FALSE,"Fast Report"}</definedName>
    <definedName name="wrn.Overall._.View." localSheetId="4" hidden="1">{"Overall",#N/A,FALSE,"Fast Report"}</definedName>
    <definedName name="wrn.Summary._.and._.Overall._.and._.Calculations." localSheetId="6" hidden="1">{"Summary",#N/A,FALSE,"Current Template";"Overall",#N/A,FALSE,"Current Template";"Calculation Sheet",#N/A,FALSE,"Traffic"}</definedName>
    <definedName name="wrn.Summary._.and._.Overall._.and._.Calculations." localSheetId="4" hidden="1">{"Summary",#N/A,FALSE,"Current Template";"Overall",#N/A,FALSE,"Current Template";"Calculation Sheet",#N/A,FALSE,"Traffic"}</definedName>
    <definedName name="wrn.Summary._.and._.Overall._.Views." localSheetId="6" hidden="1">{"Summary",#N/A,FALSE,"Fast Report";"Overall",#N/A,FALSE,"Fast Report"}</definedName>
    <definedName name="wrn.Summary._.and._.Overall._.Views." localSheetId="4" hidden="1">{"Summary",#N/A,FALSE,"Fast Report";"Overall",#N/A,FALSE,"Fast Report"}</definedName>
    <definedName name="wrn.Summary._.View." localSheetId="6" hidden="1">{"Summary",#N/A,FALSE,"Fast Report"}</definedName>
    <definedName name="wrn.Summary._.View." localSheetId="4" hidden="1">{"Summary",#N/A,FALSE,"Fast Report"}</definedName>
    <definedName name="wrn.Traffic._.View." localSheetId="6" hidden="1">{"Traffic",#N/A,FALSE,"Fast Report"}</definedName>
    <definedName name="wrn.Traffic._.View." localSheetId="4" hidden="1">{"Traffic",#N/A,FALSE,"Fast Report"}</definedName>
    <definedName name="wrn.User._.Cost._.View." localSheetId="6" hidden="1">{"User Cost",#N/A,FALSE,"Fast Report"}</definedName>
    <definedName name="wrn.User._.Cost._.View." localSheetId="4" hidden="1">{"User Cost",#N/A,FALSE,"Fast Report"}</definedName>
  </definedNames>
  <calcPr calcMode="manual" fullCalcOnLoad="1" iterate="1" iterateCount="100" iterateDelta="0.001"/>
</workbook>
</file>

<file path=xl/comments2.xml><?xml version="1.0" encoding="utf-8"?>
<comments xmlns="http://schemas.openxmlformats.org/spreadsheetml/2006/main">
  <authors>
    <author>A satisfied Microsoft Office user</author>
    <author>R. I. Carr</author>
  </authors>
  <commentList>
    <comment ref="H117" authorId="0">
      <text>
        <r>
          <rPr>
            <b/>
            <sz val="8"/>
            <rFont val="Tahoma"/>
            <family val="0"/>
          </rPr>
          <t>Dcan.p.cars.wo.del.C.threshold</t>
        </r>
      </text>
    </comment>
    <comment ref="I416" authorId="1">
      <text>
        <r>
          <rPr>
            <b/>
            <sz val="8"/>
            <rFont val="Tahoma"/>
            <family val="0"/>
          </rPr>
          <t>R. I. Carr: Maximum difference used in testing convergence during iteration.</t>
        </r>
        <r>
          <rPr>
            <sz val="8"/>
            <rFont val="Tahoma"/>
            <family val="0"/>
          </rPr>
          <t xml:space="preserve">
</t>
        </r>
      </text>
    </comment>
    <comment ref="I413" authorId="1">
      <text>
        <r>
          <rPr>
            <b/>
            <sz val="8"/>
            <rFont val="Tahoma"/>
            <family val="0"/>
          </rPr>
          <t>R. I. Carr: Maximum difference used in testing convergence during iteration. (Default = 0.1)</t>
        </r>
        <r>
          <rPr>
            <sz val="8"/>
            <rFont val="Tahoma"/>
            <family val="0"/>
          </rPr>
          <t xml:space="preserve">
</t>
        </r>
      </text>
    </comment>
    <comment ref="I414" authorId="1">
      <text>
        <r>
          <rPr>
            <b/>
            <sz val="8"/>
            <rFont val="Tahoma"/>
            <family val="0"/>
          </rPr>
          <t>This scales value of allowed difference in actual demand.
(Default = 0.20%)</t>
        </r>
        <r>
          <rPr>
            <sz val="8"/>
            <rFont val="Tahoma"/>
            <family val="0"/>
          </rPr>
          <t xml:space="preserve">
</t>
        </r>
      </text>
    </comment>
    <comment ref="I417" authorId="1">
      <text>
        <r>
          <rPr>
            <b/>
            <sz val="8"/>
            <rFont val="Tahoma"/>
            <family val="0"/>
          </rPr>
          <t>Compare this to allowed difference above.</t>
        </r>
        <r>
          <rPr>
            <sz val="8"/>
            <rFont val="Tahoma"/>
            <family val="0"/>
          </rPr>
          <t xml:space="preserve">
</t>
        </r>
      </text>
    </comment>
    <comment ref="I418" authorId="1">
      <text>
        <r>
          <rPr>
            <b/>
            <sz val="8"/>
            <rFont val="Tahoma"/>
            <family val="0"/>
          </rPr>
          <t>Compare this to allowed difference above.</t>
        </r>
        <r>
          <rPr>
            <sz val="8"/>
            <rFont val="Tahoma"/>
            <family val="0"/>
          </rPr>
          <t xml:space="preserve">
</t>
        </r>
      </text>
    </comment>
    <comment ref="I419" authorId="1">
      <text>
        <r>
          <rPr>
            <b/>
            <sz val="8"/>
            <rFont val="Tahoma"/>
            <family val="0"/>
          </rPr>
          <t>Sets maximum iterations allowed. Error message if does not converge.
(Default = 20)</t>
        </r>
        <r>
          <rPr>
            <sz val="8"/>
            <rFont val="Tahoma"/>
            <family val="0"/>
          </rPr>
          <t xml:space="preserve">
</t>
        </r>
      </text>
    </comment>
    <comment ref="I421" authorId="1">
      <text>
        <r>
          <rPr>
            <b/>
            <sz val="8"/>
            <rFont val="Tahoma"/>
            <family val="0"/>
          </rPr>
          <t>This sets convergence method.
(Default=1)</t>
        </r>
        <r>
          <rPr>
            <sz val="8"/>
            <rFont val="Tahoma"/>
            <family val="0"/>
          </rPr>
          <t xml:space="preserve">
</t>
        </r>
      </text>
    </comment>
    <comment ref="I420" authorId="1">
      <text>
        <r>
          <rPr>
            <b/>
            <sz val="8"/>
            <rFont val="Tahoma"/>
            <family val="0"/>
          </rPr>
          <t>Offset from allowed number of iterations at which error messages start reporting values of trial delay and actual demand values.
(Default = 1)</t>
        </r>
        <r>
          <rPr>
            <sz val="8"/>
            <rFont val="Tahoma"/>
            <family val="0"/>
          </rPr>
          <t xml:space="preserve">
</t>
        </r>
      </text>
    </comment>
    <comment ref="I422" authorId="1">
      <text>
        <r>
          <rPr>
            <b/>
            <sz val="8"/>
            <rFont val="Tahoma"/>
            <family val="0"/>
          </rPr>
          <t>Reports number of iterations. Divide by 24 periods to calculate average iterations per period.</t>
        </r>
        <r>
          <rPr>
            <sz val="8"/>
            <rFont val="Tahoma"/>
            <family val="0"/>
          </rPr>
          <t xml:space="preserve">
</t>
        </r>
      </text>
    </comment>
    <comment ref="I423" authorId="1">
      <text>
        <r>
          <rPr>
            <b/>
            <sz val="8"/>
            <rFont val="Tahoma"/>
            <family val="0"/>
          </rPr>
          <t>Reports the maximum number of iterations that a period required for delay and demand to converge.</t>
        </r>
        <r>
          <rPr>
            <sz val="8"/>
            <rFont val="Tahoma"/>
            <family val="0"/>
          </rPr>
          <t xml:space="preserve">
</t>
        </r>
      </text>
    </comment>
    <comment ref="I424" authorId="1">
      <text>
        <r>
          <rPr>
            <b/>
            <sz val="8"/>
            <rFont val="Tahoma"/>
            <family val="0"/>
          </rPr>
          <t>Reports the period (of 24 periods) that had the maximum cycles to converge.</t>
        </r>
        <r>
          <rPr>
            <sz val="8"/>
            <rFont val="Tahoma"/>
            <family val="0"/>
          </rPr>
          <t xml:space="preserve">
</t>
        </r>
      </text>
    </comment>
    <comment ref="I425" authorId="1">
      <text>
        <r>
          <rPr>
            <b/>
            <sz val="8"/>
            <rFont val="Tahoma"/>
            <family val="0"/>
          </rPr>
          <t>Maximum number of periods that were required for a backup to dissipate.</t>
        </r>
        <r>
          <rPr>
            <sz val="8"/>
            <rFont val="Tahoma"/>
            <family val="0"/>
          </rPr>
          <t xml:space="preserve">
</t>
        </r>
      </text>
    </comment>
    <comment ref="I426" authorId="1">
      <text>
        <r>
          <rPr>
            <b/>
            <sz val="8"/>
            <rFont val="Tahoma"/>
            <family val="0"/>
          </rPr>
          <t>Period (of 24) at which backup caused Max periods of backup.</t>
        </r>
      </text>
    </comment>
  </commentList>
</comments>
</file>

<file path=xl/comments4.xml><?xml version="1.0" encoding="utf-8"?>
<comments xmlns="http://schemas.openxmlformats.org/spreadsheetml/2006/main">
  <authors>
    <author>A satisfied Microsoft Office user</author>
  </authors>
  <commentList>
    <comment ref="B44" authorId="0">
      <text>
        <r>
          <rPr>
            <b/>
            <sz val="8"/>
            <rFont val="Tahoma"/>
            <family val="0"/>
          </rPr>
          <t>Dcan.p.cars.wo.del.C.threshold</t>
        </r>
      </text>
    </comment>
  </commentList>
</comments>
</file>

<file path=xl/comments5.xml><?xml version="1.0" encoding="utf-8"?>
<comments xmlns="http://schemas.openxmlformats.org/spreadsheetml/2006/main">
  <authors>
    <author>A satisfied Microsoft Office user</author>
  </authors>
  <commentList>
    <comment ref="B5" authorId="0">
      <text>
        <r>
          <rPr>
            <sz val="8"/>
            <rFont val="Tahoma"/>
            <family val="0"/>
          </rPr>
          <t>A lane in one direction closed each day = 50%
A lane in both directions closed each day = 100%</t>
        </r>
      </text>
    </comment>
  </commentList>
</comments>
</file>

<file path=xl/comments6.xml><?xml version="1.0" encoding="utf-8"?>
<comments xmlns="http://schemas.openxmlformats.org/spreadsheetml/2006/main">
  <authors>
    <author>R. I. Carr</author>
  </authors>
  <commentList>
    <comment ref="C15" authorId="0">
      <text>
        <r>
          <rPr>
            <sz val="9"/>
            <rFont val="Tahoma"/>
            <family val="2"/>
          </rPr>
          <t>Enter 15, 20, 30
(or blank, if shortest period = 60 min.)</t>
        </r>
        <r>
          <rPr>
            <sz val="8"/>
            <rFont val="Tahoma"/>
            <family val="0"/>
          </rPr>
          <t xml:space="preserve">
</t>
        </r>
      </text>
    </comment>
    <comment ref="B15" authorId="0">
      <text>
        <r>
          <rPr>
            <sz val="9"/>
            <rFont val="Tahoma"/>
            <family val="2"/>
          </rPr>
          <t xml:space="preserve">Below, enter </t>
        </r>
        <r>
          <rPr>
            <i/>
            <sz val="9"/>
            <rFont val="Tahoma"/>
            <family val="2"/>
          </rPr>
          <t>user cost</t>
        </r>
        <r>
          <rPr>
            <sz val="9"/>
            <rFont val="Tahoma"/>
            <family val="2"/>
          </rPr>
          <t xml:space="preserve"> for each period</t>
        </r>
        <r>
          <rPr>
            <sz val="8"/>
            <rFont val="Tahoma"/>
            <family val="0"/>
          </rPr>
          <t xml:space="preserve">
</t>
        </r>
      </text>
    </comment>
    <comment ref="B16" authorId="0">
      <text>
        <r>
          <rPr>
            <sz val="9"/>
            <rFont val="Tahoma"/>
            <family val="2"/>
          </rPr>
          <t xml:space="preserve">Enter </t>
        </r>
        <r>
          <rPr>
            <i/>
            <sz val="9"/>
            <rFont val="Tahoma"/>
            <family val="2"/>
          </rPr>
          <t>user cost</t>
        </r>
        <r>
          <rPr>
            <sz val="9"/>
            <rFont val="Tahoma"/>
            <family val="2"/>
          </rPr>
          <t xml:space="preserve"> for each period</t>
        </r>
        <r>
          <rPr>
            <sz val="8"/>
            <rFont val="Tahoma"/>
            <family val="0"/>
          </rPr>
          <t xml:space="preserve">
</t>
        </r>
      </text>
    </comment>
    <comment ref="H4" authorId="0">
      <text>
        <r>
          <rPr>
            <sz val="9"/>
            <rFont val="Tahoma"/>
            <family val="2"/>
          </rPr>
          <t xml:space="preserve">Default = 1 for user cost.
For period cost, enter fraction = P/U = (period cost) / (user cost)
</t>
        </r>
      </text>
    </comment>
    <comment ref="G6" authorId="0">
      <text>
        <r>
          <rPr>
            <sz val="9"/>
            <rFont val="Tahoma"/>
            <family val="2"/>
          </rPr>
          <t xml:space="preserve">Round-off for 60 min.
blank (delete key) = no roundoff
otherwise, $1, $10, $100, $1000
</t>
        </r>
      </text>
    </comment>
    <comment ref="H6" authorId="0">
      <text>
        <r>
          <rPr>
            <sz val="9"/>
            <rFont val="Tahoma"/>
            <family val="2"/>
          </rPr>
          <t xml:space="preserve">Round-off for period = 15, 20, 30 min.
blank (delete key) = no roundoff (default)
otherwise $1, $10, $100, $1000
</t>
        </r>
      </text>
    </comment>
    <comment ref="H5" authorId="0">
      <text>
        <r>
          <rPr>
            <sz val="8"/>
            <rFont val="Tahoma"/>
            <family val="2"/>
          </rPr>
          <t>Threshold that period cost must exceed to be considered. 
User cost default = 0 (blank)
Period cost default = $100.</t>
        </r>
        <r>
          <rPr>
            <sz val="8"/>
            <rFont val="Tahoma"/>
            <family val="0"/>
          </rPr>
          <t xml:space="preserve">
</t>
        </r>
      </text>
    </comment>
  </commentList>
</comments>
</file>

<file path=xl/comments7.xml><?xml version="1.0" encoding="utf-8"?>
<comments xmlns="http://schemas.openxmlformats.org/spreadsheetml/2006/main">
  <authors>
    <author>A satisfied Microsoft Office user</author>
    <author>R. I. Carr</author>
  </authors>
  <commentList>
    <comment ref="C28" authorId="0">
      <text>
        <r>
          <rPr>
            <b/>
            <sz val="8"/>
            <rFont val="Tahoma"/>
            <family val="0"/>
          </rPr>
          <t>Standard Case is always 1.</t>
        </r>
      </text>
    </comment>
    <comment ref="A8" authorId="0">
      <text>
        <r>
          <rPr>
            <b/>
            <sz val="8"/>
            <rFont val="Tahoma"/>
            <family val="0"/>
          </rPr>
          <t>Default = 1 for daily closure. Default &gt; 1 for 24 hr closure.</t>
        </r>
      </text>
    </comment>
    <comment ref="A10" authorId="0">
      <text>
        <r>
          <rPr>
            <b/>
            <sz val="8"/>
            <rFont val="Tahoma"/>
            <family val="0"/>
          </rPr>
          <t>Default = 1</t>
        </r>
      </text>
    </comment>
    <comment ref="A12" authorId="0">
      <text>
        <r>
          <rPr>
            <b/>
            <sz val="8"/>
            <rFont val="Tahoma"/>
            <family val="0"/>
          </rPr>
          <t>Labor cost with lanes closed for this work as percent of contract cost.</t>
        </r>
      </text>
    </comment>
    <comment ref="A13" authorId="0">
      <text>
        <r>
          <rPr>
            <b/>
            <sz val="8"/>
            <rFont val="Tahoma"/>
            <family val="0"/>
          </rPr>
          <t>Default: 0. May be significant for 24 hr closures.</t>
        </r>
      </text>
    </comment>
    <comment ref="A16" authorId="0">
      <text>
        <r>
          <rPr>
            <b/>
            <sz val="8"/>
            <rFont val="Tahoma"/>
            <family val="0"/>
          </rPr>
          <t>Default: 1</t>
        </r>
      </text>
    </comment>
    <comment ref="A17" authorId="0">
      <text>
        <r>
          <rPr>
            <b/>
            <sz val="8"/>
            <rFont val="Tahoma"/>
            <family val="0"/>
          </rPr>
          <t xml:space="preserve">Generally, this is less than paid hours per shift for daily closure. Default = paid hours per shift for 24 hr closure. </t>
        </r>
      </text>
    </comment>
    <comment ref="A18" authorId="0">
      <text>
        <r>
          <rPr>
            <b/>
            <sz val="8"/>
            <rFont val="Tahoma"/>
            <family val="0"/>
          </rPr>
          <t xml:space="preserve">Defaults: 8 or 10 hours per day. </t>
        </r>
      </text>
    </comment>
    <comment ref="A19" authorId="0">
      <text>
        <r>
          <rPr>
            <b/>
            <sz val="8"/>
            <rFont val="Tahoma"/>
            <family val="0"/>
          </rPr>
          <t>Default: 0 for 5x8 hour days or 4x10 hour days per week.</t>
        </r>
      </text>
    </comment>
    <comment ref="A20" authorId="0">
      <text>
        <r>
          <rPr>
            <b/>
            <sz val="8"/>
            <rFont val="Tahoma"/>
            <family val="0"/>
          </rPr>
          <t>Default: 1.4 for time and a half.</t>
        </r>
      </text>
    </comment>
    <comment ref="A31" authorId="0">
      <text>
        <r>
          <rPr>
            <b/>
            <sz val="8"/>
            <rFont val="Tahoma"/>
            <family val="0"/>
          </rPr>
          <t xml:space="preserve">  Equipment cost does not change significantly for many projects. Adjust equipment costs only when it is important.
  Generally use Relative Based where you do not itemize equipment and Total Based where you estimate cost of individual items of equipment.</t>
        </r>
      </text>
    </comment>
    <comment ref="A32" authorId="1">
      <text>
        <r>
          <rPr>
            <b/>
            <sz val="8"/>
            <rFont val="Tahoma"/>
            <family val="0"/>
          </rPr>
          <t xml:space="preserve">Input fraction of contract cost that is equipment. </t>
        </r>
        <r>
          <rPr>
            <sz val="8"/>
            <rFont val="Tahoma"/>
            <family val="0"/>
          </rPr>
          <t xml:space="preserve">
</t>
        </r>
      </text>
    </comment>
    <comment ref="A33" authorId="0">
      <text>
        <r>
          <rPr>
            <b/>
            <sz val="8"/>
            <rFont val="Tahoma"/>
            <family val="0"/>
          </rPr>
          <t>Default = 1</t>
        </r>
      </text>
    </comment>
    <comment ref="A42" authorId="0">
      <text>
        <r>
          <rPr>
            <b/>
            <sz val="8"/>
            <rFont val="Tahoma"/>
            <family val="0"/>
          </rPr>
          <t xml:space="preserve">  Equipment cost does not change significantly for many projects. Adjust equipment costs only when it is important.
  Generally use Relative Based where you do not itemize equipment and Total Based where you estimate cost of individual items of equipment.</t>
        </r>
      </text>
    </comment>
    <comment ref="A52" authorId="0">
      <text>
        <r>
          <rPr>
            <b/>
            <sz val="8"/>
            <rFont val="Tahoma"/>
            <family val="0"/>
          </rPr>
          <t>Material cost does not change on most projects. Use this only when the material requirements change.</t>
        </r>
      </text>
    </comment>
    <comment ref="A68" authorId="0">
      <text>
        <r>
          <rPr>
            <b/>
            <sz val="8"/>
            <rFont val="Tahoma"/>
            <family val="0"/>
          </rPr>
          <t>Agency cost changes are not important on most projects. Use this part only when differences will be significant.</t>
        </r>
      </text>
    </comment>
    <comment ref="A43" authorId="0">
      <text>
        <r>
          <rPr>
            <b/>
            <sz val="8"/>
            <rFont val="Tahoma"/>
            <family val="0"/>
          </rPr>
          <t>Default = 1</t>
        </r>
      </text>
    </comment>
    <comment ref="A55" authorId="0">
      <text>
        <r>
          <rPr>
            <b/>
            <sz val="8"/>
            <rFont val="Tahoma"/>
            <family val="0"/>
          </rPr>
          <t>Traffic Maintenance changes are not important on most projects. Use this part only when differences will be significant.</t>
        </r>
      </text>
    </comment>
    <comment ref="A61" authorId="0">
      <text>
        <r>
          <rPr>
            <b/>
            <sz val="8"/>
            <rFont val="Tahoma"/>
            <family val="0"/>
          </rPr>
          <t>Other contract cost changes are not important on most projects. Use this part only when differences will be significant.</t>
        </r>
      </text>
    </comment>
    <comment ref="A62" authorId="0">
      <text>
        <r>
          <rPr>
            <b/>
            <sz val="8"/>
            <rFont val="Tahoma"/>
            <family val="0"/>
          </rPr>
          <t>% increase (or decrease) in contract cost not in other variables. Default = blank for day work. Default = 10% * (1-labor cost %) for night work.</t>
        </r>
      </text>
    </comment>
  </commentList>
</comments>
</file>

<file path=xl/sharedStrings.xml><?xml version="1.0" encoding="utf-8"?>
<sst xmlns="http://schemas.openxmlformats.org/spreadsheetml/2006/main" count="1587" uniqueCount="560">
  <si>
    <t>This model is for modeling traffic delay, user cost, and construction cost for construction and maintenance operations.</t>
  </si>
  <si>
    <t>SummaryView</t>
  </si>
  <si>
    <t>period length (min)</t>
  </si>
  <si>
    <t>PROJECT INFORMATION</t>
  </si>
  <si>
    <t>REPORT INFORMATION</t>
  </si>
  <si>
    <t>annual traffic growth (%)</t>
  </si>
  <si>
    <t>PROJECT</t>
  </si>
  <si>
    <t>REPORT</t>
  </si>
  <si>
    <t>DETAILED USER COST REPORT</t>
  </si>
  <si>
    <t>years of growth</t>
  </si>
  <si>
    <t>TITLE</t>
  </si>
  <si>
    <t>SUMMARY SHEET</t>
  </si>
  <si>
    <t>VEHICLE INPUT</t>
  </si>
  <si>
    <t>cars</t>
  </si>
  <si>
    <t>trucks</t>
  </si>
  <si>
    <t>C.S.</t>
  </si>
  <si>
    <t>DIVISION</t>
  </si>
  <si>
    <t>design demand (%)</t>
  </si>
  <si>
    <t>JOB #</t>
  </si>
  <si>
    <t>REPORT BY</t>
  </si>
  <si>
    <t>user cost per hour ($/V hr)</t>
  </si>
  <si>
    <t>START DATE</t>
  </si>
  <si>
    <t>REPORT DATE</t>
  </si>
  <si>
    <t xml:space="preserve"> user cost per mile, ($/V mi)</t>
  </si>
  <si>
    <t>NOTES:</t>
  </si>
  <si>
    <t>user cost per cancellation,  ($/V)</t>
  </si>
  <si>
    <t>METHOD INPUT</t>
  </si>
  <si>
    <t>METHOD 1</t>
  </si>
  <si>
    <t>METHOD 2</t>
  </si>
  <si>
    <t>METHOD 3</t>
  </si>
  <si>
    <t>METHOD 4</t>
  </si>
  <si>
    <t>method title</t>
  </si>
  <si>
    <t>DISTANCE AND SPEED</t>
  </si>
  <si>
    <t>(mi)  (mph)</t>
  </si>
  <si>
    <t>distance</t>
  </si>
  <si>
    <t>speed</t>
  </si>
  <si>
    <t>work zone</t>
  </si>
  <si>
    <t>method travel</t>
  </si>
  <si>
    <t>see delay</t>
  </si>
  <si>
    <t>normal travel</t>
  </si>
  <si>
    <t>diversion</t>
  </si>
  <si>
    <t>SPEED DELAY</t>
  </si>
  <si>
    <t>threshold</t>
  </si>
  <si>
    <t>range</t>
  </si>
  <si>
    <t>capacity for speed delay (V/period)</t>
  </si>
  <si>
    <r>
      <t>speed  (when D</t>
    </r>
    <r>
      <rPr>
        <b/>
        <sz val="12"/>
        <rFont val="Arial"/>
        <family val="0"/>
      </rPr>
      <t>~</t>
    </r>
    <r>
      <rPr>
        <b/>
        <sz val="10"/>
        <rFont val="Arial"/>
        <family val="0"/>
      </rPr>
      <t>0) (mph)</t>
    </r>
  </si>
  <si>
    <t xml:space="preserve"> speed (when D=C) (mph)</t>
  </si>
  <si>
    <t>DECREASE TO DEMAND</t>
  </si>
  <si>
    <t>capacity for decreases to design demand (V/period)</t>
  </si>
  <si>
    <t xml:space="preserve"> canceled cars (with no delay) (%)</t>
  </si>
  <si>
    <t>canceled trucks (with no delay) (%)</t>
  </si>
  <si>
    <t>canceled cars (with delay) (%/min)</t>
  </si>
  <si>
    <t>canceled trucks (with delay) (%/min)</t>
  </si>
  <si>
    <t xml:space="preserve"> diverted cars (with no delay) (%)</t>
  </si>
  <si>
    <t>diverted trucks (with no delay) (%)</t>
  </si>
  <si>
    <t>diverted cars (with delay) (%/min)</t>
  </si>
  <si>
    <t>diverted trucks (with delay) (%/min)</t>
  </si>
  <si>
    <t>OTHER USER COST INPUT</t>
  </si>
  <si>
    <t>other user cost per actual demand ($/V)</t>
  </si>
  <si>
    <t>user cost per diversion  ($/V)</t>
  </si>
  <si>
    <t>PERIOD INPUT</t>
  </si>
  <si>
    <t>backup at start (V)</t>
  </si>
  <si>
    <t>direction:</t>
  </si>
  <si>
    <t>period</t>
  </si>
  <si>
    <t>historical demand</t>
  </si>
  <si>
    <t>design demand</t>
  </si>
  <si>
    <t>capacity</t>
  </si>
  <si>
    <t>(hr)</t>
  </si>
  <si>
    <t>(V/period)</t>
  </si>
  <si>
    <t>1 A</t>
  </si>
  <si>
    <t>2 A</t>
  </si>
  <si>
    <t>3 A</t>
  </si>
  <si>
    <t>4 A</t>
  </si>
  <si>
    <t>5 A</t>
  </si>
  <si>
    <t>6 A</t>
  </si>
  <si>
    <t>7 A</t>
  </si>
  <si>
    <t>8 A</t>
  </si>
  <si>
    <t>9 A</t>
  </si>
  <si>
    <t>10 A</t>
  </si>
  <si>
    <t>11 A</t>
  </si>
  <si>
    <t>12 P</t>
  </si>
  <si>
    <t>1 P</t>
  </si>
  <si>
    <t>2 P</t>
  </si>
  <si>
    <t>3 P</t>
  </si>
  <si>
    <t>4 P</t>
  </si>
  <si>
    <t>5 P</t>
  </si>
  <si>
    <t>6 P</t>
  </si>
  <si>
    <t>7 P</t>
  </si>
  <si>
    <t>8 P</t>
  </si>
  <si>
    <t>9 P</t>
  </si>
  <si>
    <t>10 P</t>
  </si>
  <si>
    <t>11 P</t>
  </si>
  <si>
    <t>Total</t>
  </si>
  <si>
    <t>SUMMARY OUTPUT</t>
  </si>
  <si>
    <t>traffic method</t>
  </si>
  <si>
    <t>direction</t>
  </si>
  <si>
    <t>total user cost</t>
  </si>
  <si>
    <t>user cost of delays</t>
  </si>
  <si>
    <t xml:space="preserve">user cost of decreases </t>
  </si>
  <si>
    <t>maximum backup (V)</t>
  </si>
  <si>
    <t>maximum backup length (lane mi)</t>
  </si>
  <si>
    <t>maximum  delay (min.)</t>
  </si>
  <si>
    <t>average  delay (min)</t>
  </si>
  <si>
    <t>total delay, except diversions (V hr)</t>
  </si>
  <si>
    <t>total vehicles canceled(V)</t>
  </si>
  <si>
    <t>total vehicles diverted (V)</t>
  </si>
  <si>
    <t>total decrease in demand (V)</t>
  </si>
  <si>
    <t>% decrease in demand</t>
  </si>
  <si>
    <t>delay per diverted vehicle (min)</t>
  </si>
  <si>
    <t>total diversion delay (V hr)</t>
  </si>
  <si>
    <t>average delay, including diversions (min)</t>
  </si>
  <si>
    <t>total delay, including diversions (V hr)</t>
  </si>
  <si>
    <t>user cost / design demand</t>
  </si>
  <si>
    <t>delay cost / actual demand</t>
  </si>
  <si>
    <t>OK</t>
  </si>
  <si>
    <t>validity of output</t>
  </si>
  <si>
    <t>Overall View</t>
  </si>
  <si>
    <t>speed  (when D~0) (mph)</t>
  </si>
  <si>
    <t>other user cost per vehicle ($/V)</t>
  </si>
  <si>
    <t/>
  </si>
  <si>
    <t>backup at start (V):</t>
  </si>
  <si>
    <t>backup</t>
  </si>
  <si>
    <t>maximum</t>
  </si>
  <si>
    <t>total</t>
  </si>
  <si>
    <t>average</t>
  </si>
  <si>
    <t>user cost</t>
  </si>
  <si>
    <t>delay cost</t>
  </si>
  <si>
    <t>hist.</t>
  </si>
  <si>
    <t>design</t>
  </si>
  <si>
    <t>actual</t>
  </si>
  <si>
    <t>length</t>
  </si>
  <si>
    <t>delay</t>
  </si>
  <si>
    <t>/ actual</t>
  </si>
  <si>
    <t>demand</t>
  </si>
  <si>
    <t>eop</t>
  </si>
  <si>
    <t>(V)</t>
  </si>
  <si>
    <t>(lane.mile)</t>
  </si>
  <si>
    <t>(min)</t>
  </si>
  <si>
    <t>($/V)</t>
  </si>
  <si>
    <t>TOT</t>
  </si>
  <si>
    <t>AVG</t>
  </si>
  <si>
    <t>MAX</t>
  </si>
  <si>
    <t>MIN</t>
  </si>
  <si>
    <t>canceled</t>
  </si>
  <si>
    <t>diverted</t>
  </si>
  <si>
    <t>decrease</t>
  </si>
  <si>
    <t xml:space="preserve">user </t>
  </si>
  <si>
    <t xml:space="preserve">to </t>
  </si>
  <si>
    <t>cost</t>
  </si>
  <si>
    <t>($)</t>
  </si>
  <si>
    <t>Traffic View</t>
  </si>
  <si>
    <t>TRAFFIC SHEET</t>
  </si>
  <si>
    <t>Direction:</t>
  </si>
  <si>
    <t xml:space="preserve">actual </t>
  </si>
  <si>
    <t xml:space="preserve">speed </t>
  </si>
  <si>
    <t>User Cost View</t>
  </si>
  <si>
    <t>cancel</t>
  </si>
  <si>
    <t>divert</t>
  </si>
  <si>
    <t>costs</t>
  </si>
  <si>
    <t>Combined View</t>
  </si>
  <si>
    <t>Speed delay exponent</t>
  </si>
  <si>
    <r>
      <t>E</t>
    </r>
    <r>
      <rPr>
        <vertAlign val="subscript"/>
        <sz val="14"/>
        <rFont val="Arial"/>
        <family val="2"/>
      </rPr>
      <t>S</t>
    </r>
  </si>
  <si>
    <t>Vehicle length in backup (ft)</t>
  </si>
  <si>
    <r>
      <t>L</t>
    </r>
    <r>
      <rPr>
        <vertAlign val="subscript"/>
        <sz val="14"/>
        <rFont val="Arial"/>
        <family val="2"/>
      </rPr>
      <t>B</t>
    </r>
  </si>
  <si>
    <r>
      <t>e</t>
    </r>
    <r>
      <rPr>
        <vertAlign val="subscript"/>
        <sz val="14"/>
        <rFont val="Arial"/>
        <family val="2"/>
      </rPr>
      <t>del.allowed</t>
    </r>
  </si>
  <si>
    <r>
      <t>e</t>
    </r>
    <r>
      <rPr>
        <vertAlign val="subscript"/>
        <sz val="14"/>
        <rFont val="Arial"/>
        <family val="2"/>
      </rPr>
      <t>D.allowed</t>
    </r>
  </si>
  <si>
    <r>
      <t>e</t>
    </r>
    <r>
      <rPr>
        <vertAlign val="subscript"/>
        <sz val="14"/>
        <rFont val="Arial"/>
        <family val="2"/>
      </rPr>
      <t>del.avg</t>
    </r>
  </si>
  <si>
    <r>
      <t>e</t>
    </r>
    <r>
      <rPr>
        <vertAlign val="subscript"/>
        <sz val="14"/>
        <rFont val="Arial"/>
        <family val="2"/>
      </rPr>
      <t>D.avg</t>
    </r>
  </si>
  <si>
    <t>Allowed number of interations</t>
  </si>
  <si>
    <t>AllowedCycles</t>
  </si>
  <si>
    <t>maximum vehicle delay (min.)</t>
  </si>
  <si>
    <t>Iterations at which to check converge</t>
  </si>
  <si>
    <t>ReportCycles</t>
  </si>
  <si>
    <t>total delay (V hr)</t>
  </si>
  <si>
    <r>
      <t>Converge method  (</t>
    </r>
    <r>
      <rPr>
        <b/>
        <sz val="10"/>
        <rFont val="Arial"/>
        <family val="0"/>
      </rPr>
      <t>1=intercept</t>
    </r>
    <r>
      <rPr>
        <sz val="10"/>
        <rFont val="Arial"/>
        <family val="2"/>
      </rPr>
      <t xml:space="preserve">, 2=combo, </t>
    </r>
    <r>
      <rPr>
        <strike/>
        <sz val="10"/>
        <rFont val="Arial"/>
        <family val="2"/>
      </rPr>
      <t>3=interpolate</t>
    </r>
    <r>
      <rPr>
        <sz val="10"/>
        <rFont val="Arial"/>
        <family val="2"/>
      </rPr>
      <t>)</t>
    </r>
  </si>
  <si>
    <t>ConvergeMethod</t>
  </si>
  <si>
    <t>Total number of iterative cycles</t>
  </si>
  <si>
    <t>TotalCycles</t>
  </si>
  <si>
    <t>Max cycles to converge</t>
  </si>
  <si>
    <t>MaxCycles</t>
  </si>
  <si>
    <t>Period of max cycles to converge</t>
  </si>
  <si>
    <t>MaxCyclesI</t>
  </si>
  <si>
    <t>Max periods of backup</t>
  </si>
  <si>
    <t>MaxPeriods</t>
  </si>
  <si>
    <t>Period of max periods of backup</t>
  </si>
  <si>
    <t>MaxPeriodsI</t>
  </si>
  <si>
    <t>OUTPUT</t>
  </si>
  <si>
    <t>Method</t>
  </si>
  <si>
    <t>Number</t>
  </si>
  <si>
    <t>Direction</t>
  </si>
  <si>
    <t>Times:</t>
  </si>
  <si>
    <t>Delta (sec)</t>
  </si>
  <si>
    <t>Start</t>
  </si>
  <si>
    <t>Times 1</t>
  </si>
  <si>
    <t>After input</t>
  </si>
  <si>
    <t>Times 2</t>
  </si>
  <si>
    <t>Calc Overall</t>
  </si>
  <si>
    <t>Times 3</t>
  </si>
  <si>
    <t>DelayDemand</t>
  </si>
  <si>
    <t>Times 4</t>
  </si>
  <si>
    <t>Calc views</t>
  </si>
  <si>
    <t>Times 5</t>
  </si>
  <si>
    <t>Checksum</t>
  </si>
  <si>
    <t>Times 6</t>
  </si>
  <si>
    <t>Validity</t>
  </si>
  <si>
    <t>Times 7</t>
  </si>
  <si>
    <t>Overall delta (sec)=</t>
  </si>
  <si>
    <t>Seed:</t>
  </si>
  <si>
    <t>Interval:</t>
  </si>
  <si>
    <t>SummaryInputGeneral</t>
  </si>
  <si>
    <t>SummaryInputMethod_I</t>
  </si>
  <si>
    <t>SummaryInputBsop1_ij</t>
  </si>
  <si>
    <t>SummaryDemandHist_j</t>
  </si>
  <si>
    <t>SummaryCapacity_ij</t>
  </si>
  <si>
    <t>SummaryOutput_ij</t>
  </si>
  <si>
    <t>Checksums:</t>
  </si>
  <si>
    <t>Method:</t>
  </si>
  <si>
    <t>Auto Validity Status</t>
  </si>
  <si>
    <t>SummaryInputGeneral:</t>
  </si>
  <si>
    <t>ON</t>
  </si>
  <si>
    <t>SummaryInputDirctn_ij</t>
  </si>
  <si>
    <t>Print Validity Status</t>
  </si>
  <si>
    <t>Now Valid Status</t>
  </si>
  <si>
    <t>Total Current:</t>
  </si>
  <si>
    <t>Total Saved (from calc)</t>
  </si>
  <si>
    <t>Difference:</t>
  </si>
  <si>
    <t>Range = Bottom</t>
  </si>
  <si>
    <t>Validity:</t>
  </si>
  <si>
    <t>ROUTE CALCULATIONS</t>
  </si>
  <si>
    <t>Project:</t>
  </si>
  <si>
    <t>By:</t>
  </si>
  <si>
    <t>Other:</t>
  </si>
  <si>
    <t>ROUTE USER COSTS</t>
  </si>
  <si>
    <t>ROUTE TITLES</t>
  </si>
  <si>
    <t xml:space="preserve"> </t>
  </si>
  <si>
    <t>DISTANCE AND SPEED INPUT</t>
  </si>
  <si>
    <t>SPEED DELAY INPUT</t>
  </si>
  <si>
    <t>capacity for speed delay (V/hr)</t>
  </si>
  <si>
    <t>WORK ZONE TRAVEL</t>
  </si>
  <si>
    <t>normal travel time (min)</t>
  </si>
  <si>
    <t>method travel time (when D~0) (min)</t>
  </si>
  <si>
    <t>speed delay (when D~0) (min)</t>
  </si>
  <si>
    <t>method travel time (when D=C) (min)</t>
  </si>
  <si>
    <t>speed delay (when D=C) (min)</t>
  </si>
  <si>
    <t>WORK ZONE SPEED DELAY USER COST</t>
  </si>
  <si>
    <t xml:space="preserve"> car speed delay user cost (when D~0) </t>
  </si>
  <si>
    <t xml:space="preserve"> truck speed delay user cost (when D~0) </t>
  </si>
  <si>
    <t xml:space="preserve">car speed delay user cost (when D=C) </t>
  </si>
  <si>
    <t xml:space="preserve">truck speed delay user cost (when D=C) </t>
  </si>
  <si>
    <t>DIVERSION TRAVEL</t>
  </si>
  <si>
    <t>method travel time (min)</t>
  </si>
  <si>
    <t>diversion delay (min)</t>
  </si>
  <si>
    <t>extra diversion travel distance (mi)</t>
  </si>
  <si>
    <t>DIVERSION USER COST</t>
  </si>
  <si>
    <t>diversion  delay user cost</t>
  </si>
  <si>
    <t>diversion distance user cost</t>
  </si>
  <si>
    <t>diversion user cost</t>
  </si>
  <si>
    <t>backup delay balance (min)</t>
  </si>
  <si>
    <t>ROUTE DISTANCE, SPEED, AND TIME</t>
  </si>
  <si>
    <t>Normal Travel</t>
  </si>
  <si>
    <t>Method Travel</t>
  </si>
  <si>
    <t>Input</t>
  </si>
  <si>
    <t>Calculated Values</t>
  </si>
  <si>
    <t>Distance (mi)</t>
  </si>
  <si>
    <t>Speed (mph)</t>
  </si>
  <si>
    <t>Travel Time (min)</t>
  </si>
  <si>
    <t>Weighted Distance (mi)</t>
  </si>
  <si>
    <t>Totals</t>
  </si>
  <si>
    <t>Averages</t>
  </si>
  <si>
    <t>Differences</t>
  </si>
  <si>
    <t>CONSTRUCTION SUMMARY INPUT</t>
  </si>
  <si>
    <t>labor cost ($)</t>
  </si>
  <si>
    <t>project cost ($)</t>
  </si>
  <si>
    <t>SUMMARY OF IMPACTS</t>
  </si>
  <si>
    <t>USER COST, DAILY</t>
  </si>
  <si>
    <t>total delay, except diversions, daily (V hr)</t>
  </si>
  <si>
    <t>total vehicles canceled, daily (V)</t>
  </si>
  <si>
    <t>total vehicles diverted, daily (V)</t>
  </si>
  <si>
    <t>total decrease in demand, daily (V)</t>
  </si>
  <si>
    <t>total diversion delay, daily (V hr)</t>
  </si>
  <si>
    <t>total delay, including diversions, daily (V hr)</t>
  </si>
  <si>
    <t>USER COST, TOTAL</t>
  </si>
  <si>
    <t>CONSTRUCTION COST</t>
  </si>
  <si>
    <t>method</t>
  </si>
  <si>
    <t>TOTAL PROJECT COST</t>
  </si>
  <si>
    <t>PROJECT INPUT AND DOCUMENTATION</t>
  </si>
  <si>
    <t>METHOD #</t>
  </si>
  <si>
    <t>default</t>
  </si>
  <si>
    <t>Standard</t>
  </si>
  <si>
    <t>work zone method travel</t>
  </si>
  <si>
    <t>work zone normal travel</t>
  </si>
  <si>
    <t>diversion method travel</t>
  </si>
  <si>
    <t>diversion normal travel</t>
  </si>
  <si>
    <t xml:space="preserve">          capacity for decreases to design demand (V/hr)</t>
  </si>
  <si>
    <t xml:space="preserve">                canceled cars (with no delay) (%)</t>
  </si>
  <si>
    <t xml:space="preserve">                canceled trucks (with no delay) (%)</t>
  </si>
  <si>
    <t xml:space="preserve">                canceled cars (with delay) (%/min)</t>
  </si>
  <si>
    <t xml:space="preserve">                canceled trucks (with delay) (%/min)</t>
  </si>
  <si>
    <t xml:space="preserve">                 diverted cars (with no delay) (%)</t>
  </si>
  <si>
    <t xml:space="preserve">                diverted trucks (with no delay) (%)</t>
  </si>
  <si>
    <t xml:space="preserve">                diverted cars (with delay) (%/min)</t>
  </si>
  <si>
    <t xml:space="preserve">                diverted trucks (with delay) (%/min)</t>
  </si>
  <si>
    <t>CAPACITY INPUT</t>
  </si>
  <si>
    <t>normal</t>
  </si>
  <si>
    <t>total capacity each way (V/hr)</t>
  </si>
  <si>
    <t>CONSTRUCTION COST SHEET</t>
  </si>
  <si>
    <t>important</t>
  </si>
  <si>
    <t>Standard Case</t>
  </si>
  <si>
    <t>Alternative 1</t>
  </si>
  <si>
    <t>Alternative 2</t>
  </si>
  <si>
    <t>Alternative 3</t>
  </si>
  <si>
    <t>General Input                         method</t>
  </si>
  <si>
    <t>contract cost ($)</t>
  </si>
  <si>
    <t>NA</t>
  </si>
  <si>
    <t xml:space="preserve">default. </t>
  </si>
  <si>
    <t xml:space="preserve">relative productivity </t>
  </si>
  <si>
    <t>default,</t>
  </si>
  <si>
    <t>Labor Cost</t>
  </si>
  <si>
    <t>labor cost %</t>
  </si>
  <si>
    <t>fixed mobilization (standard crew hr)</t>
  </si>
  <si>
    <t>default.</t>
  </si>
  <si>
    <t>shifts</t>
  </si>
  <si>
    <t>crews per shift</t>
  </si>
  <si>
    <t>workers per crew (relative)</t>
  </si>
  <si>
    <t>% premium time</t>
  </si>
  <si>
    <t>premium cost ($PT/$ST)</t>
  </si>
  <si>
    <t>workers (relative)</t>
  </si>
  <si>
    <t>worker production hours, total (relative)</t>
  </si>
  <si>
    <t xml:space="preserve">paid hours, total (relative) </t>
  </si>
  <si>
    <t>cost per paid hour (relative)</t>
  </si>
  <si>
    <t>labor cost index</t>
  </si>
  <si>
    <t>labor cost difference ($)</t>
  </si>
  <si>
    <t>na</t>
  </si>
  <si>
    <t>equipment cost %</t>
  </si>
  <si>
    <t>relative number of items</t>
  </si>
  <si>
    <t>Equipment Cost- Relative Based</t>
  </si>
  <si>
    <t>equipment fixed cost/item, relative</t>
  </si>
  <si>
    <t>equipment fixed cost, relative ($)</t>
  </si>
  <si>
    <t>equipment cost/day/item, relative</t>
  </si>
  <si>
    <t>equipment cost ($) (day based)*</t>
  </si>
  <si>
    <t>equipment cost/hr/item, relative</t>
  </si>
  <si>
    <t xml:space="preserve">equipment cost ($) (hr based)* </t>
  </si>
  <si>
    <t>equipment cost, relative ($)</t>
  </si>
  <si>
    <t>equipment cost difference, relative ($)</t>
  </si>
  <si>
    <t>Equipment Cost - Total Based</t>
  </si>
  <si>
    <t xml:space="preserve">equipment fixed cost/item, total </t>
  </si>
  <si>
    <t>equipment fixed cost, total ($)</t>
  </si>
  <si>
    <t xml:space="preserve">equipment cost/day/item, total </t>
  </si>
  <si>
    <t>equipment cost, total ($) (day based)*</t>
  </si>
  <si>
    <t>equipment cost/hr/item, total</t>
  </si>
  <si>
    <t>equipment cost,total ($) (hr based)*</t>
  </si>
  <si>
    <t>equipment cost,total ($)</t>
  </si>
  <si>
    <t>equipment cost difference, total ($)</t>
  </si>
  <si>
    <t>Material Cost</t>
  </si>
  <si>
    <t>material cost ($)</t>
  </si>
  <si>
    <t>materal cost difference ($)</t>
  </si>
  <si>
    <t>Traffic Maintenance Cost</t>
  </si>
  <si>
    <t>traffic maintenance fixed cost ($)</t>
  </si>
  <si>
    <t>traffic maintenance daily cost ($/day)</t>
  </si>
  <si>
    <t>traffic maintenance hourly cost ($/hr)</t>
  </si>
  <si>
    <t>traffic maintenance total cost ($)</t>
  </si>
  <si>
    <t>traffic maintenance cost difference ($)</t>
  </si>
  <si>
    <t>Other Contract Cost</t>
  </si>
  <si>
    <t>other % cost (%)</t>
  </si>
  <si>
    <t>other fixed cost ($)</t>
  </si>
  <si>
    <t>other daily cost ($/day)</t>
  </si>
  <si>
    <t>other hourly cost ($/hr)</t>
  </si>
  <si>
    <t xml:space="preserve">other total cost ($) </t>
  </si>
  <si>
    <t>other total cost difference ($)</t>
  </si>
  <si>
    <t>Agency Cost</t>
  </si>
  <si>
    <t>agency fixed cost ($)</t>
  </si>
  <si>
    <t>agency daily cost ($/day)</t>
  </si>
  <si>
    <t>agency hourly cost ($/hr)</t>
  </si>
  <si>
    <t>agency total cost ($)</t>
  </si>
  <si>
    <t>agency cost difference ($)</t>
  </si>
  <si>
    <t>Total Construction Cost</t>
  </si>
  <si>
    <t>contract cost difference ($)</t>
  </si>
  <si>
    <t>project cost difference ($)</t>
  </si>
  <si>
    <t>Summary                            method</t>
  </si>
  <si>
    <t>*Generally do not use both hr based and day based equip cost.</t>
  </si>
  <si>
    <t>DECREASE TO DEMAND INPUT</t>
  </si>
  <si>
    <t>(V hr)</t>
  </si>
  <si>
    <t>7A</t>
  </si>
  <si>
    <t>Time of Day</t>
  </si>
  <si>
    <t>12 A - 1 A</t>
  </si>
  <si>
    <t>1 A - 2 A</t>
  </si>
  <si>
    <t>2 A - 3 A</t>
  </si>
  <si>
    <t>3 A - 4 A</t>
  </si>
  <si>
    <t>4 A - 5 A</t>
  </si>
  <si>
    <t>5 A - 6 A</t>
  </si>
  <si>
    <t>6 A - 7 A</t>
  </si>
  <si>
    <t>7 A - 8 A</t>
  </si>
  <si>
    <t>8 A - 9 A</t>
  </si>
  <si>
    <t>9 A - 10 A</t>
  </si>
  <si>
    <t>10 A - 11 A</t>
  </si>
  <si>
    <t>11 A - 12 P</t>
  </si>
  <si>
    <t>12 P - 1 P</t>
  </si>
  <si>
    <t>1 P - 2 P</t>
  </si>
  <si>
    <t>2 P - 3 P</t>
  </si>
  <si>
    <t>3 P - 4 P</t>
  </si>
  <si>
    <t>4 P - 5 P</t>
  </si>
  <si>
    <t>5 P - 6 P</t>
  </si>
  <si>
    <t>6 P - 7 P</t>
  </si>
  <si>
    <t>7 P - 8 P</t>
  </si>
  <si>
    <t>8 P - 9 P</t>
  </si>
  <si>
    <t>9 P - 10 P</t>
  </si>
  <si>
    <t>10 P - 11 P</t>
  </si>
  <si>
    <t>11 P - 12 A</t>
  </si>
  <si>
    <t>Traffic:</t>
  </si>
  <si>
    <t>Period (min):</t>
  </si>
  <si>
    <t>Period</t>
  </si>
  <si>
    <t>12-1A</t>
  </si>
  <si>
    <t>1-2</t>
  </si>
  <si>
    <t>2-3</t>
  </si>
  <si>
    <t>3-4</t>
  </si>
  <si>
    <t>4-5</t>
  </si>
  <si>
    <t>5-6</t>
  </si>
  <si>
    <t>6-7</t>
  </si>
  <si>
    <t>7-8</t>
  </si>
  <si>
    <t>8-9</t>
  </si>
  <si>
    <t>9-10</t>
  </si>
  <si>
    <t>10-11</t>
  </si>
  <si>
    <t>11-12</t>
  </si>
  <si>
    <t>12-1P</t>
  </si>
  <si>
    <t>1A</t>
  </si>
  <si>
    <t>2A</t>
  </si>
  <si>
    <t>3A</t>
  </si>
  <si>
    <t>4A</t>
  </si>
  <si>
    <t>5A</t>
  </si>
  <si>
    <t>6A</t>
  </si>
  <si>
    <t>8A</t>
  </si>
  <si>
    <t>9A</t>
  </si>
  <si>
    <t>10A</t>
  </si>
  <si>
    <t>11A</t>
  </si>
  <si>
    <t>12N</t>
  </si>
  <si>
    <t>1P</t>
  </si>
  <si>
    <t>2P</t>
  </si>
  <si>
    <t>3P</t>
  </si>
  <si>
    <t>4P</t>
  </si>
  <si>
    <t>5P</t>
  </si>
  <si>
    <t>6P</t>
  </si>
  <si>
    <t>7P</t>
  </si>
  <si>
    <t>8P</t>
  </si>
  <si>
    <t>9P</t>
  </si>
  <si>
    <t>10P</t>
  </si>
  <si>
    <t>11P</t>
  </si>
  <si>
    <t>12M</t>
  </si>
  <si>
    <t>24 hr</t>
  </si>
  <si>
    <t>Examples</t>
  </si>
  <si>
    <t>1:00P to 2:00P =</t>
  </si>
  <si>
    <t>7:00A to 5:00P =</t>
  </si>
  <si>
    <t>1:00P to 1:00P =</t>
  </si>
  <si>
    <t>Sum</t>
  </si>
  <si>
    <t>Hour-to-Hour Cost</t>
  </si>
  <si>
    <t>Finish</t>
  </si>
  <si>
    <t>Cost w/</t>
  </si>
  <si>
    <t>7:00A to 5:00P:</t>
  </si>
  <si>
    <t>12:00A to 5:00P =</t>
  </si>
  <si>
    <t>1:00P to 3:00P:</t>
  </si>
  <si>
    <t>2:00P to 3:00P =</t>
  </si>
  <si>
    <t>Allowed diff as % of max design demand</t>
  </si>
  <si>
    <t>Maximum design demand (V)</t>
  </si>
  <si>
    <t>Daily</t>
  </si>
  <si>
    <t>Cost per Period ($/hr)</t>
  </si>
  <si>
    <t>Period      Cost            ($)</t>
  </si>
  <si>
    <t>Day</t>
  </si>
  <si>
    <t>Date</t>
  </si>
  <si>
    <t>Lane Closure Times</t>
  </si>
  <si>
    <t>Total Periods (hr)</t>
  </si>
  <si>
    <t>Fraction = P/U =</t>
  </si>
  <si>
    <t>TRAFFIC VIEW</t>
  </si>
  <si>
    <t>COMBINED VIEW</t>
  </si>
  <si>
    <t>OVERALL VIEW</t>
  </si>
  <si>
    <t>Examples Using Short Term Daily Cost Table</t>
  </si>
  <si>
    <t>Examples Using Long Term Daily Cost Table</t>
  </si>
  <si>
    <t>Short Term Daily Cost Table ($)</t>
  </si>
  <si>
    <t>Long Term Daily Cost Table (Up to 24 hr) ($)</t>
  </si>
  <si>
    <t xml:space="preserve">    User Cost View</t>
  </si>
  <si>
    <t>P/U:</t>
  </si>
  <si>
    <t>Detailed Cost View</t>
  </si>
  <si>
    <t>Project Cost View</t>
  </si>
  <si>
    <t xml:space="preserve">Note: </t>
  </si>
  <si>
    <t>To hide unused columns, highlight them at top of spreadsheet, click left mouse button, click "hide"</t>
  </si>
  <si>
    <t>To unhide unused columns, highlight columns to either side, click left mouse button, click "unhide"</t>
  </si>
  <si>
    <t>To hide/unhide unused rows, do the same as for columns, except do it for rows at left side of spreadsheet.</t>
  </si>
  <si>
    <t xml:space="preserve">    Detailed Cost View</t>
  </si>
  <si>
    <t xml:space="preserve">    Daily Cost View</t>
  </si>
  <si>
    <t>Daily Cost View</t>
  </si>
  <si>
    <t>productive hours, total (hr)</t>
  </si>
  <si>
    <t>productive hours per shift (hr)</t>
  </si>
  <si>
    <t>work days (day)</t>
  </si>
  <si>
    <t>paid hours per shift (hr)</t>
  </si>
  <si>
    <t>agency % cost (%)</t>
  </si>
  <si>
    <t>IMPACT SUMMARY SHEET</t>
  </si>
  <si>
    <t>user cost / design demand ($/V)</t>
  </si>
  <si>
    <t>delay cost / actual demand ($/V)</t>
  </si>
  <si>
    <t>average user cost / design demand ($/V)</t>
  </si>
  <si>
    <t>average delay cost / actual demand ($/V)</t>
  </si>
  <si>
    <r>
      <t>SUMMARY SHEET</t>
    </r>
    <r>
      <rPr>
        <b/>
        <sz val="12"/>
        <color indexed="10"/>
        <rFont val="Arial"/>
        <family val="2"/>
      </rPr>
      <t xml:space="preserve"> INPUT</t>
    </r>
    <r>
      <rPr>
        <b/>
        <sz val="10"/>
        <rFont val="Arial"/>
        <family val="2"/>
      </rPr>
      <t xml:space="preserve">              Project:</t>
    </r>
  </si>
  <si>
    <t>average delay per diverted vehicle (min)</t>
  </si>
  <si>
    <r>
      <t>TRAFFIC SUMMARY INPUT</t>
    </r>
    <r>
      <rPr>
        <b/>
        <sz val="10"/>
        <rFont val="Arial"/>
        <family val="2"/>
      </rPr>
      <t xml:space="preserve">        % closed</t>
    </r>
  </si>
  <si>
    <t>total vehicles canceled (V)</t>
  </si>
  <si>
    <t>total user cost, daily ($)</t>
  </si>
  <si>
    <t>user cost of delays, daily ($)</t>
  </si>
  <si>
    <t>user cost of decreases , daily ($)</t>
  </si>
  <si>
    <t>total user cost ($)</t>
  </si>
  <si>
    <t>user cost of delays ($)</t>
  </si>
  <si>
    <t>user cost of decreases ($)</t>
  </si>
  <si>
    <t>Period Cost View</t>
  </si>
  <si>
    <t xml:space="preserve">    Period Cost View</t>
  </si>
  <si>
    <t>Cost Threshold =</t>
  </si>
  <si>
    <t>Cost w/ Earlier Start</t>
  </si>
  <si>
    <t>Later</t>
  </si>
  <si>
    <t>-12:00A to 7:00A =</t>
  </si>
  <si>
    <t>Cost per Period</t>
  </si>
  <si>
    <t>To</t>
  </si>
  <si>
    <t>From</t>
  </si>
  <si>
    <t>Daily Cost Sheet Tables</t>
  </si>
  <si>
    <t>Note: This Daily Sheet now includes Project Cost View.</t>
  </si>
  <si>
    <t xml:space="preserve">    Project Cost View</t>
  </si>
  <si>
    <t>This sheet is used in the Users Guide, Ch. 1</t>
  </si>
  <si>
    <t>minutes</t>
  </si>
  <si>
    <t>Period          (1 hr)</t>
  </si>
  <si>
    <t>Total Cost         ($)</t>
  </si>
  <si>
    <t>Fraction of Hour Lane is Closed (hr)</t>
  </si>
  <si>
    <t>Round-Off =</t>
  </si>
  <si>
    <t>lane-closed hours per day (hr/day)</t>
  </si>
  <si>
    <t>lane-closed days (day)</t>
  </si>
  <si>
    <t>lane-closed days per work day</t>
  </si>
  <si>
    <t>Lane-Closed Hours          (hr)</t>
  </si>
  <si>
    <t>Period Cost Input</t>
  </si>
  <si>
    <t xml:space="preserve">      User Cost per Period</t>
  </si>
  <si>
    <t xml:space="preserve">Route Title: </t>
  </si>
  <si>
    <t>Route Name</t>
  </si>
  <si>
    <t>% that Take Route</t>
  </si>
  <si>
    <t>Weighted Time (min)</t>
  </si>
  <si>
    <t>average delay, except diversions (min)</t>
  </si>
  <si>
    <t>/ design</t>
  </si>
  <si>
    <t xml:space="preserve">     Email: RICarr@umich.edu</t>
  </si>
  <si>
    <t xml:space="preserve">     Phone (313) 764-9420  Fax (313) 764-4292</t>
  </si>
  <si>
    <t>Copyright Robert I.Carr, 1997</t>
  </si>
  <si>
    <t xml:space="preserve">     Department of Civil and Environmental Engineering</t>
  </si>
  <si>
    <t xml:space="preserve">     University of Michigan</t>
  </si>
  <si>
    <t xml:space="preserve">     Ann Arbor, MI 48109-2125</t>
  </si>
  <si>
    <r>
      <t>CO</t>
    </r>
    <r>
      <rPr>
        <vertAlign val="superscript"/>
        <sz val="12"/>
        <color indexed="39"/>
        <rFont val="Arial"/>
        <family val="2"/>
      </rPr>
      <t>3</t>
    </r>
    <r>
      <rPr>
        <sz val="10"/>
        <color indexed="39"/>
        <rFont val="Arial"/>
        <family val="2"/>
      </rPr>
      <t xml:space="preserve"> was created by Robert I. Carr under a grant from the Michigan Department of Transportation for its use in providing better service to the Michigan traveling public.</t>
    </r>
  </si>
  <si>
    <t>Allowed difference in delay (min)</t>
  </si>
  <si>
    <t>Allowed difference in actual demand  (V)</t>
  </si>
  <si>
    <t xml:space="preserve">Average difference in delay (min) </t>
  </si>
  <si>
    <t xml:space="preserve">Average difference in actual demand (V) </t>
  </si>
  <si>
    <t>Master input values and report of computational efficiency.</t>
  </si>
  <si>
    <r>
      <t>CO</t>
    </r>
    <r>
      <rPr>
        <b/>
        <vertAlign val="superscript"/>
        <sz val="16"/>
        <color indexed="39"/>
        <rFont val="Arial"/>
        <family val="2"/>
      </rPr>
      <t>3</t>
    </r>
    <r>
      <rPr>
        <b/>
        <sz val="12"/>
        <color indexed="39"/>
        <rFont val="Arial"/>
        <family val="2"/>
      </rPr>
      <t xml:space="preserve"> Program for Modeling Congestion Costs  During Construction </t>
    </r>
  </si>
  <si>
    <r>
      <t>Construction Congestion Cost (CO</t>
    </r>
    <r>
      <rPr>
        <b/>
        <vertAlign val="superscript"/>
        <sz val="16"/>
        <color indexed="39"/>
        <rFont val="Arial"/>
        <family val="2"/>
      </rPr>
      <t>3)</t>
    </r>
  </si>
  <si>
    <r>
      <t>CO</t>
    </r>
    <r>
      <rPr>
        <vertAlign val="superscript"/>
        <sz val="12"/>
        <color indexed="39"/>
        <rFont val="Arial"/>
        <family val="2"/>
      </rPr>
      <t>3</t>
    </r>
    <r>
      <rPr>
        <sz val="10"/>
        <color indexed="39"/>
        <rFont val="Arial"/>
        <family val="2"/>
      </rPr>
      <t xml:space="preserve"> models traffic in one direction one or more lanes - the Standard Method</t>
    </r>
  </si>
  <si>
    <r>
      <t>This model parallels the more specialized CO</t>
    </r>
    <r>
      <rPr>
        <vertAlign val="superscript"/>
        <sz val="12"/>
        <color indexed="39"/>
        <rFont val="Arial"/>
        <family val="2"/>
      </rPr>
      <t>3</t>
    </r>
    <r>
      <rPr>
        <sz val="10"/>
        <color indexed="39"/>
        <rFont val="Arial"/>
        <family val="2"/>
      </rPr>
      <t xml:space="preserve"> for Flagging, which is in COFlag.xls (see), which is used when traffic must be maintained by closing one lane and placing two-way traffic in a single lane.</t>
    </r>
  </si>
  <si>
    <t>Changes:</t>
  </si>
  <si>
    <t xml:space="preserve">RICarr on 3 Feb 98: Direct calculation was implemented for   most common case of demand exceeding capacity, in which all of a period's demand enters under the same capacity. </t>
  </si>
  <si>
    <t>RICarr on 17 Feb 98: Corrected error for car user cost per hour     not equal to truck user cost per hour.</t>
  </si>
  <si>
    <t xml:space="preserve">RICarr on 28 May 98: Changed order of total and average </t>
  </si>
  <si>
    <t xml:space="preserve">traffic decreases to correct Visual Basic spreadsheet </t>
  </si>
  <si>
    <t>calculation fault.</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</si>
</sst>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00"/>
    <numFmt numFmtId="167" formatCode="_(&quot;$&quot;* #,##0.000_);_(&quot;$&quot;* \(#,##0.000\);_(&quot;$&quot;* &quot;-&quot;??_);_(@_)"/>
    <numFmt numFmtId="168" formatCode="_(&quot;$&quot;* #,##0.0000_);_(&quot;$&quot;* \(#,##0.0000\);_(&quot;$&quot;* &quot;-&quot;??_);_(@_)"/>
    <numFmt numFmtId="169" formatCode="0.0000"/>
    <numFmt numFmtId="170" formatCode="0.00000"/>
    <numFmt numFmtId="171" formatCode="0.0"/>
    <numFmt numFmtId="172" formatCode="_(* #,##0.0_);_(* \(#,##0.0\);_(* &quot;-&quot;??_);_(@_)"/>
    <numFmt numFmtId="173" formatCode="_(* #,##0_);_(* \(#,##0\);_(* &quot;-&quot;??_);_(@_)"/>
    <numFmt numFmtId="174" formatCode="_(&quot;$&quot;*#\,##0.0_);_(&quot;$&quot;*(#,##0.0\);_(&quot;$&quot;* &quot;-&quot;??_);_(@_)"/>
    <numFmt numFmtId="175" formatCode="_(&quot;$&quot;#,##0.0_);_(&quot;$&quot;\(#,##0.0\);_(&quot;$&quot;* &quot;-&quot;??_);_(@_)"/>
    <numFmt numFmtId="176" formatCode="_(&quot;$&quot;#,##0_);_(&quot;$&quot;\(#,##0\);_(&quot;$&quot;* &quot;-&quot;??_);_(@_)"/>
    <numFmt numFmtId="177" formatCode="_(&quot;$&quot;#,##0_);_(&quot;$&quot;\(#,##0\);_(&quot;$&quot;&quot;-&quot;??_);_(@_)"/>
    <numFmt numFmtId="178" formatCode="_(* #,##0_);_(* \(#,##0\);_(* &quot;-&quot;??_)"/>
    <numFmt numFmtId="179" formatCode="_(&quot;$&quot;#,##0.00_);_(&quot;$&quot;\(#,##0.00\);_(&quot;$&quot;* &quot;-&quot;??_);_(@_)"/>
    <numFmt numFmtId="180" formatCode="0.0%"/>
    <numFmt numFmtId="181" formatCode="&quot;$&quot;#,##0"/>
    <numFmt numFmtId="182" formatCode="0.000%"/>
    <numFmt numFmtId="183" formatCode="0.0000%"/>
    <numFmt numFmtId="184" formatCode="&quot;$&quot;#,##0.00"/>
    <numFmt numFmtId="185" formatCode="mmmm\-yy"/>
    <numFmt numFmtId="186" formatCode="mm/dd/yy"/>
    <numFmt numFmtId="187" formatCode="&quot;$&quot;#,##0.0"/>
    <numFmt numFmtId="188" formatCode="0.000000"/>
    <numFmt numFmtId="189" formatCode="#,##0.0"/>
    <numFmt numFmtId="190" formatCode="h:mm\ A/P"/>
    <numFmt numFmtId="191" formatCode="h\ A/P"/>
    <numFmt numFmtId="192" formatCode="&quot;$&quot;#,##0.0_);\(&quot;$&quot;#,##0.0\)"/>
    <numFmt numFmtId="193" formatCode="_(* #,##0_);_(* \(#,##0\);_(\ &quot;-&quot;??_)"/>
    <numFmt numFmtId="194" formatCode="_(* #,##0_);_(* \(#,##0\);_(\ &quot;-&quot;_)"/>
    <numFmt numFmtId="195" formatCode="0.0000E+00"/>
    <numFmt numFmtId="196" formatCode="m/d"/>
    <numFmt numFmtId="197" formatCode="_(&quot;$&quot;#,##0_);_(\(&quot;$&quot;#,##0\);_(&quot;$&quot;* &quot;-&quot;??_);_(@_)"/>
    <numFmt numFmtId="198" formatCode="&quot;$&quot;#,##0.0_);[Red]\(&quot;$&quot;#,##0.0\)"/>
    <numFmt numFmtId="199" formatCode="#,##0.0_);[Red]\(#,##0.0\)"/>
    <numFmt numFmtId="200" formatCode="&quot;$&quot;#,##0.000_);\(&quot;$&quot;#,##0.000\)"/>
    <numFmt numFmtId="201" formatCode="&quot;$&quot;#,##0.0000_);\(&quot;$&quot;#,##0.0000\)"/>
    <numFmt numFmtId="202" formatCode="&quot;$&quot;#,##0.00000_);\(&quot;$&quot;#,##0.00000\)"/>
    <numFmt numFmtId="203" formatCode="&quot;$&quot;#,##0.000000_);\(&quot;$&quot;#,##0.000000\)"/>
    <numFmt numFmtId="204" formatCode="&quot;$&quot;#,##0.0000000_);\(&quot;$&quot;#,##0.0000000\)"/>
    <numFmt numFmtId="205" formatCode="&quot;$&quot;#,##0.00000000_);\(&quot;$&quot;#,##0.00000000\)"/>
    <numFmt numFmtId="206" formatCode="&quot;$&quot;#,##0.000000000_);\(&quot;$&quot;#,##0.000000000\)"/>
    <numFmt numFmtId="207" formatCode="&quot;$&quot;#,##0.0000000000_);\(&quot;$&quot;#,##0.0000000000\)"/>
    <numFmt numFmtId="208" formatCode="&quot;$&quot;#,##0.00000000000_);\(&quot;$&quot;#,##0.00000000000\)"/>
    <numFmt numFmtId="209" formatCode="0.0000000"/>
    <numFmt numFmtId="210" formatCode="0_);[Red]\(0\)"/>
    <numFmt numFmtId="211" formatCode="0_);\(0\)"/>
    <numFmt numFmtId="212" formatCode="#,##0.000"/>
    <numFmt numFmtId="213" formatCode=".00"/>
  </numFmts>
  <fonts count="43">
    <font>
      <sz val="10"/>
      <name val="Arial"/>
      <family val="0"/>
    </font>
    <font>
      <b/>
      <sz val="10"/>
      <name val="Arial"/>
      <family val="0"/>
    </font>
    <font>
      <i/>
      <sz val="10"/>
      <name val="Arial"/>
      <family val="0"/>
    </font>
    <font>
      <b/>
      <i/>
      <sz val="10"/>
      <name val="Arial"/>
      <family val="0"/>
    </font>
    <font>
      <vertAlign val="subscript"/>
      <sz val="14"/>
      <name val="Arial"/>
      <family val="2"/>
    </font>
    <font>
      <b/>
      <sz val="12"/>
      <name val="Arial"/>
      <family val="0"/>
    </font>
    <font>
      <strike/>
      <sz val="10"/>
      <name val="Arial"/>
      <family val="2"/>
    </font>
    <font>
      <b/>
      <sz val="8"/>
      <name val="Arial"/>
      <family val="0"/>
    </font>
    <font>
      <sz val="10"/>
      <color indexed="12"/>
      <name val="Arial"/>
      <family val="2"/>
    </font>
    <font>
      <b/>
      <i/>
      <sz val="12"/>
      <name val="Arial"/>
      <family val="2"/>
    </font>
    <font>
      <b/>
      <sz val="9"/>
      <name val="Arial"/>
      <family val="2"/>
    </font>
    <font>
      <b/>
      <sz val="10"/>
      <color indexed="8"/>
      <name val="Arial"/>
      <family val="2"/>
    </font>
    <font>
      <b/>
      <sz val="10"/>
      <color indexed="10"/>
      <name val="Arial"/>
      <family val="2"/>
    </font>
    <font>
      <b/>
      <sz val="11"/>
      <color indexed="10"/>
      <name val="Arial"/>
      <family val="2"/>
    </font>
    <font>
      <b/>
      <sz val="10"/>
      <color indexed="12"/>
      <name val="Arial"/>
      <family val="2"/>
    </font>
    <font>
      <sz val="10"/>
      <color indexed="37"/>
      <name val="Arial"/>
      <family val="2"/>
    </font>
    <font>
      <sz val="10"/>
      <color indexed="23"/>
      <name val="Arial"/>
      <family val="0"/>
    </font>
    <font>
      <sz val="9"/>
      <name val="Arial"/>
      <family val="2"/>
    </font>
    <font>
      <sz val="10"/>
      <color indexed="16"/>
      <name val="Arial"/>
      <family val="2"/>
    </font>
    <font>
      <b/>
      <sz val="11"/>
      <color indexed="58"/>
      <name val="Arial"/>
      <family val="2"/>
    </font>
    <font>
      <b/>
      <sz val="9"/>
      <color indexed="8"/>
      <name val="Arial"/>
      <family val="2"/>
    </font>
    <font>
      <b/>
      <sz val="10"/>
      <color indexed="39"/>
      <name val="Arial"/>
      <family val="2"/>
    </font>
    <font>
      <b/>
      <sz val="14"/>
      <name val="Arial"/>
      <family val="2"/>
    </font>
    <font>
      <b/>
      <sz val="11"/>
      <name val="Arial"/>
      <family val="2"/>
    </font>
    <font>
      <sz val="12"/>
      <name val="Arial"/>
      <family val="2"/>
    </font>
    <font>
      <sz val="10"/>
      <color indexed="39"/>
      <name val="Arial"/>
      <family val="2"/>
    </font>
    <font>
      <b/>
      <sz val="12"/>
      <color indexed="39"/>
      <name val="Arial"/>
      <family val="2"/>
    </font>
    <font>
      <sz val="10"/>
      <color indexed="56"/>
      <name val="Arial"/>
      <family val="2"/>
    </font>
    <font>
      <sz val="12"/>
      <color indexed="63"/>
      <name val="Arial"/>
      <family val="2"/>
    </font>
    <font>
      <sz val="10"/>
      <color indexed="8"/>
      <name val="Arial"/>
      <family val="2"/>
    </font>
    <font>
      <sz val="10"/>
      <color indexed="63"/>
      <name val="Arial"/>
      <family val="2"/>
    </font>
    <font>
      <b/>
      <sz val="10"/>
      <color indexed="43"/>
      <name val="Arial"/>
      <family val="2"/>
    </font>
    <font>
      <sz val="9"/>
      <color indexed="63"/>
      <name val="Arial"/>
      <family val="2"/>
    </font>
    <font>
      <b/>
      <sz val="12"/>
      <color indexed="10"/>
      <name val="Arial"/>
      <family val="2"/>
    </font>
    <font>
      <b/>
      <sz val="8"/>
      <name val="Tahoma"/>
      <family val="0"/>
    </font>
    <font>
      <sz val="8"/>
      <name val="Arial"/>
      <family val="2"/>
    </font>
    <font>
      <sz val="9.5"/>
      <name val="Arial"/>
      <family val="2"/>
    </font>
    <font>
      <sz val="8"/>
      <name val="Tahoma"/>
      <family val="0"/>
    </font>
    <font>
      <sz val="9"/>
      <name val="Tahoma"/>
      <family val="2"/>
    </font>
    <font>
      <i/>
      <sz val="9"/>
      <name val="Tahoma"/>
      <family val="2"/>
    </font>
    <font>
      <b/>
      <vertAlign val="superscript"/>
      <sz val="16"/>
      <color indexed="39"/>
      <name val="Arial"/>
      <family val="2"/>
    </font>
    <font>
      <vertAlign val="superscript"/>
      <sz val="12"/>
      <color indexed="39"/>
      <name val="Arial"/>
      <family val="2"/>
    </font>
    <font>
      <b/>
      <sz val="16"/>
      <color indexed="39"/>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lightDown"/>
    </fill>
    <fill>
      <patternFill patternType="solid">
        <fgColor indexed="34"/>
        <bgColor indexed="64"/>
      </patternFill>
    </fill>
    <fill>
      <patternFill patternType="solid">
        <fgColor indexed="41"/>
        <bgColor indexed="64"/>
      </patternFill>
    </fill>
  </fills>
  <borders count="8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
      <left style="medium"/>
      <right style="medium"/>
      <top>
        <color indexed="63"/>
      </top>
      <bottom>
        <color indexed="63"/>
      </bottom>
    </border>
    <border>
      <left>
        <color indexed="63"/>
      </left>
      <right style="medium"/>
      <top style="medium"/>
      <bottom style="medium"/>
    </border>
    <border>
      <left style="medium"/>
      <right>
        <color indexed="63"/>
      </right>
      <top>
        <color indexed="63"/>
      </top>
      <bottom style="thin"/>
    </border>
    <border>
      <left style="medium"/>
      <right>
        <color indexed="63"/>
      </right>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style="thin"/>
      <right style="medium"/>
      <top>
        <color indexed="63"/>
      </top>
      <bottom style="thin"/>
    </border>
    <border>
      <left style="thin"/>
      <right style="medium"/>
      <top>
        <color indexed="63"/>
      </top>
      <bottom style="medium"/>
    </border>
    <border>
      <left style="thin"/>
      <right style="medium"/>
      <top style="medium"/>
      <bottom style="thin"/>
    </border>
    <border>
      <left style="medium"/>
      <right style="medium"/>
      <top style="medium"/>
      <bottom>
        <color indexed="63"/>
      </bottom>
    </border>
    <border>
      <left style="medium"/>
      <right style="medium"/>
      <top>
        <color indexed="63"/>
      </top>
      <bottom style="thin"/>
    </border>
    <border>
      <left>
        <color indexed="63"/>
      </left>
      <right style="medium"/>
      <top>
        <color indexed="63"/>
      </top>
      <bottom style="thin"/>
    </border>
    <border>
      <left style="medium"/>
      <right style="thin"/>
      <top>
        <color indexed="63"/>
      </top>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color indexed="63"/>
      </left>
      <right>
        <color indexed="63"/>
      </right>
      <top style="medium"/>
      <bottom style="dotted"/>
    </border>
    <border>
      <left>
        <color indexed="63"/>
      </left>
      <right style="medium"/>
      <top style="medium"/>
      <bottom style="dotted"/>
    </border>
    <border>
      <left>
        <color indexed="63"/>
      </left>
      <right>
        <color indexed="63"/>
      </right>
      <top>
        <color indexed="63"/>
      </top>
      <bottom style="dotted"/>
    </border>
    <border>
      <left>
        <color indexed="63"/>
      </left>
      <right>
        <color indexed="63"/>
      </right>
      <top>
        <color indexed="63"/>
      </top>
      <bottom style="double"/>
    </border>
    <border>
      <left>
        <color indexed="63"/>
      </left>
      <right>
        <color indexed="63"/>
      </right>
      <top style="thin"/>
      <bottom style="double"/>
    </border>
    <border>
      <left style="medium"/>
      <right style="thin"/>
      <top style="medium"/>
      <bottom style="medium"/>
    </border>
    <border>
      <left style="medium"/>
      <right>
        <color indexed="63"/>
      </right>
      <top style="medium"/>
      <bottom style="dotted"/>
    </border>
    <border>
      <left>
        <color indexed="63"/>
      </left>
      <right style="thin"/>
      <top style="medium"/>
      <bottom style="medium"/>
    </border>
    <border>
      <left style="medium"/>
      <right>
        <color indexed="63"/>
      </right>
      <top style="thin"/>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thin"/>
    </border>
    <border>
      <left style="medium"/>
      <right>
        <color indexed="63"/>
      </right>
      <top style="thin"/>
      <bottom style="medium"/>
    </border>
    <border>
      <left style="thin"/>
      <right style="thin"/>
      <top>
        <color indexed="63"/>
      </top>
      <bottom style="medium"/>
    </border>
    <border>
      <left>
        <color indexed="63"/>
      </left>
      <right style="thin"/>
      <top style="medium"/>
      <bottom style="thin"/>
    </border>
    <border>
      <left style="medium"/>
      <right style="thin"/>
      <top>
        <color indexed="63"/>
      </top>
      <bottom style="medium"/>
    </border>
    <border>
      <left style="thin"/>
      <right style="thin"/>
      <top style="medium"/>
      <bottom style="medium"/>
    </border>
    <border>
      <left style="medium"/>
      <right style="medium"/>
      <top style="thin"/>
      <bottom>
        <color indexed="63"/>
      </bottom>
    </border>
    <border>
      <left style="thin"/>
      <right style="medium"/>
      <top style="thin"/>
      <bottom>
        <color indexed="63"/>
      </bottom>
    </border>
    <border>
      <left>
        <color indexed="63"/>
      </left>
      <right style="thin"/>
      <top style="thin"/>
      <bottom style="thin"/>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medium"/>
    </border>
    <border>
      <left style="thin"/>
      <right>
        <color indexed="63"/>
      </right>
      <top style="medium"/>
      <bottom style="medium"/>
    </border>
    <border>
      <left style="medium"/>
      <right style="thin"/>
      <top style="thin"/>
      <bottom>
        <color indexed="63"/>
      </bottom>
    </border>
    <border>
      <left style="thin"/>
      <right>
        <color indexed="63"/>
      </right>
      <top style="medium"/>
      <bottom style="thin"/>
    </border>
    <border>
      <left style="thin"/>
      <right>
        <color indexed="63"/>
      </right>
      <top>
        <color indexed="63"/>
      </top>
      <bottom style="medium"/>
    </border>
    <border>
      <left>
        <color indexed="63"/>
      </left>
      <right style="medium"/>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0" fillId="0" borderId="0">
      <alignment/>
      <protection/>
    </xf>
    <xf numFmtId="9" fontId="0" fillId="0" borderId="0" applyFont="0" applyFill="0" applyBorder="0" applyAlignment="0" applyProtection="0"/>
  </cellStyleXfs>
  <cellXfs count="1247">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0" xfId="0" applyBorder="1" applyAlignment="1">
      <alignment horizontal="center"/>
    </xf>
    <xf numFmtId="0" fontId="0" fillId="0" borderId="0" xfId="20" applyBorder="1" applyAlignment="1">
      <alignment vertical="center"/>
      <protection/>
    </xf>
    <xf numFmtId="0" fontId="0" fillId="0" borderId="0" xfId="0" applyAlignment="1">
      <alignment horizontal="center"/>
    </xf>
    <xf numFmtId="0" fontId="0" fillId="0" borderId="0" xfId="0" applyBorder="1" applyAlignment="1">
      <alignment vertical="center"/>
    </xf>
    <xf numFmtId="0" fontId="0" fillId="0" borderId="0" xfId="20" applyFont="1" applyBorder="1" applyAlignment="1">
      <alignment vertical="center"/>
      <protection/>
    </xf>
    <xf numFmtId="0" fontId="0" fillId="0" borderId="1" xfId="20" applyBorder="1" applyAlignment="1">
      <alignment vertical="center"/>
      <protection/>
    </xf>
    <xf numFmtId="0" fontId="0" fillId="0" borderId="0" xfId="20" applyFont="1" applyBorder="1" applyAlignment="1">
      <alignment/>
      <protection/>
    </xf>
    <xf numFmtId="0" fontId="0" fillId="0" borderId="1" xfId="0" applyBorder="1" applyAlignment="1">
      <alignment vertical="center"/>
    </xf>
    <xf numFmtId="0" fontId="0" fillId="0" borderId="0" xfId="0" applyAlignment="1">
      <alignment horizontal="centerContinuous"/>
    </xf>
    <xf numFmtId="0" fontId="0" fillId="0" borderId="2" xfId="0" applyBorder="1" applyAlignment="1">
      <alignment/>
    </xf>
    <xf numFmtId="0" fontId="0" fillId="0" borderId="0" xfId="0" applyBorder="1" applyAlignment="1">
      <alignment horizontal="centerContinuous"/>
    </xf>
    <xf numFmtId="0" fontId="0" fillId="0" borderId="3" xfId="0" applyBorder="1" applyAlignment="1">
      <alignment/>
    </xf>
    <xf numFmtId="0" fontId="0" fillId="0" borderId="0" xfId="0" applyFill="1" applyBorder="1" applyAlignment="1">
      <alignment/>
    </xf>
    <xf numFmtId="1" fontId="0" fillId="0" borderId="0" xfId="0" applyNumberFormat="1" applyBorder="1" applyAlignment="1" applyProtection="1">
      <alignment horizontal="center" vertical="center"/>
      <protection locked="0"/>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3" xfId="0" applyBorder="1" applyAlignment="1">
      <alignment vertical="center"/>
    </xf>
    <xf numFmtId="0" fontId="0" fillId="0" borderId="10" xfId="0" applyBorder="1" applyAlignment="1">
      <alignment horizontal="centerContinuous"/>
    </xf>
    <xf numFmtId="0" fontId="1" fillId="0" borderId="0" xfId="0" applyFont="1" applyBorder="1" applyAlignment="1">
      <alignment/>
    </xf>
    <xf numFmtId="0" fontId="0" fillId="0" borderId="4" xfId="0" applyBorder="1" applyAlignment="1">
      <alignment vertical="center"/>
    </xf>
    <xf numFmtId="0" fontId="0" fillId="0" borderId="11" xfId="0" applyBorder="1" applyAlignment="1">
      <alignment/>
    </xf>
    <xf numFmtId="0" fontId="0" fillId="0" borderId="12" xfId="0" applyBorder="1" applyAlignment="1">
      <alignment horizontal="centerContinuous"/>
    </xf>
    <xf numFmtId="0" fontId="0" fillId="0" borderId="3" xfId="0" applyFill="1" applyBorder="1" applyAlignment="1">
      <alignment/>
    </xf>
    <xf numFmtId="0" fontId="0" fillId="0" borderId="4" xfId="0" applyFill="1" applyBorder="1" applyAlignment="1">
      <alignment/>
    </xf>
    <xf numFmtId="0" fontId="0" fillId="0" borderId="9" xfId="0" applyBorder="1" applyAlignment="1">
      <alignment vertical="center"/>
    </xf>
    <xf numFmtId="0" fontId="0" fillId="0" borderId="2" xfId="20" applyFont="1" applyBorder="1" applyAlignment="1">
      <alignment vertical="center"/>
      <protection/>
    </xf>
    <xf numFmtId="0" fontId="0" fillId="0" borderId="2" xfId="0" applyBorder="1" applyAlignment="1">
      <alignment vertical="center"/>
    </xf>
    <xf numFmtId="0" fontId="0" fillId="0" borderId="6" xfId="20" applyBorder="1" applyAlignment="1" applyProtection="1">
      <alignment horizontal="center" vertical="center"/>
      <protection locked="0"/>
    </xf>
    <xf numFmtId="0" fontId="0" fillId="0" borderId="7" xfId="0" applyBorder="1" applyAlignment="1">
      <alignment vertical="center"/>
    </xf>
    <xf numFmtId="0" fontId="0" fillId="0" borderId="4" xfId="20" applyBorder="1" applyAlignment="1">
      <alignment vertical="center"/>
      <protection/>
    </xf>
    <xf numFmtId="0" fontId="0" fillId="0" borderId="4" xfId="20" applyFont="1" applyBorder="1" applyAlignment="1">
      <alignment vertical="center"/>
      <protection/>
    </xf>
    <xf numFmtId="0" fontId="0" fillId="0" borderId="5" xfId="20" applyBorder="1" applyAlignment="1" applyProtection="1">
      <alignment horizontal="center" vertical="center"/>
      <protection locked="0"/>
    </xf>
    <xf numFmtId="0" fontId="0" fillId="0" borderId="13" xfId="20" applyFont="1" applyBorder="1" applyAlignment="1">
      <alignment vertical="center"/>
      <protection/>
    </xf>
    <xf numFmtId="0" fontId="0" fillId="0" borderId="1" xfId="20" applyFont="1" applyBorder="1" applyAlignment="1">
      <alignment/>
      <protection/>
    </xf>
    <xf numFmtId="0" fontId="0" fillId="0" borderId="6" xfId="0" applyBorder="1" applyAlignment="1">
      <alignment horizontal="center"/>
    </xf>
    <xf numFmtId="0" fontId="1" fillId="2" borderId="6" xfId="20" applyFont="1" applyFill="1" applyBorder="1" applyAlignment="1" applyProtection="1">
      <alignment horizontal="center" vertical="center"/>
      <protection locked="0"/>
    </xf>
    <xf numFmtId="0" fontId="1" fillId="0" borderId="3" xfId="0" applyFont="1" applyBorder="1" applyAlignment="1">
      <alignment horizontal="right" vertical="center"/>
    </xf>
    <xf numFmtId="0" fontId="1" fillId="0" borderId="14" xfId="0" applyFont="1" applyBorder="1" applyAlignment="1">
      <alignment horizontal="centerContinuous" vertical="center"/>
    </xf>
    <xf numFmtId="0" fontId="1" fillId="0" borderId="0" xfId="0" applyFont="1" applyBorder="1" applyAlignment="1">
      <alignment horizontal="right" vertical="center"/>
    </xf>
    <xf numFmtId="0" fontId="1" fillId="0" borderId="4" xfId="0" applyFont="1" applyBorder="1" applyAlignment="1">
      <alignment horizontal="right" vertical="center"/>
    </xf>
    <xf numFmtId="0" fontId="0" fillId="0" borderId="13" xfId="0" applyBorder="1" applyAlignment="1">
      <alignment vertical="center"/>
    </xf>
    <xf numFmtId="0" fontId="1" fillId="0" borderId="1" xfId="0" applyFont="1" applyBorder="1" applyAlignment="1">
      <alignment horizontal="right" vertical="center"/>
    </xf>
    <xf numFmtId="0" fontId="1" fillId="0" borderId="0" xfId="0" applyFont="1" applyBorder="1" applyAlignment="1">
      <alignment vertical="center"/>
    </xf>
    <xf numFmtId="0" fontId="1" fillId="0" borderId="10" xfId="0" applyFont="1" applyBorder="1" applyAlignment="1">
      <alignment horizontal="centerContinuous" vertical="center"/>
    </xf>
    <xf numFmtId="0" fontId="1" fillId="0" borderId="0" xfId="0" applyFont="1" applyFill="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xf>
    <xf numFmtId="0" fontId="1" fillId="0" borderId="13" xfId="0" applyFont="1" applyBorder="1" applyAlignment="1">
      <alignment vertical="center"/>
    </xf>
    <xf numFmtId="0" fontId="1" fillId="0" borderId="1" xfId="0" applyFont="1" applyBorder="1" applyAlignment="1">
      <alignment horizontal="centerContinuous" vertical="center"/>
    </xf>
    <xf numFmtId="0" fontId="1" fillId="0" borderId="6"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4" xfId="0" applyFill="1" applyBorder="1" applyAlignment="1">
      <alignment vertical="center"/>
    </xf>
    <xf numFmtId="0" fontId="1" fillId="0" borderId="4" xfId="0" applyFont="1" applyFill="1" applyBorder="1" applyAlignment="1">
      <alignment horizontal="right" vertical="center"/>
    </xf>
    <xf numFmtId="0" fontId="1" fillId="0" borderId="2" xfId="0" applyFont="1" applyBorder="1" applyAlignment="1">
      <alignment horizontal="center" vertical="center"/>
    </xf>
    <xf numFmtId="0" fontId="0" fillId="0" borderId="0" xfId="0" applyFont="1" applyBorder="1" applyAlignment="1">
      <alignment vertical="center"/>
    </xf>
    <xf numFmtId="0" fontId="0" fillId="0" borderId="6" xfId="0" applyBorder="1" applyAlignment="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6" xfId="0" applyFont="1" applyBorder="1" applyAlignment="1">
      <alignment horizontal="center" vertical="center"/>
    </xf>
    <xf numFmtId="1" fontId="1" fillId="0" borderId="18" xfId="20" applyNumberFormat="1" applyFont="1" applyBorder="1" applyAlignment="1">
      <alignment horizontal="center" vertical="center"/>
      <protection/>
    </xf>
    <xf numFmtId="1" fontId="1" fillId="0" borderId="19" xfId="20" applyNumberFormat="1" applyFont="1" applyBorder="1" applyAlignment="1">
      <alignment horizontal="center" vertical="center"/>
      <protection/>
    </xf>
    <xf numFmtId="0" fontId="1" fillId="0" borderId="2" xfId="0" applyFont="1" applyFill="1" applyBorder="1" applyAlignment="1">
      <alignment horizontal="center" vertical="center"/>
    </xf>
    <xf numFmtId="0" fontId="1" fillId="0" borderId="0" xfId="0" applyFont="1" applyAlignment="1">
      <alignment/>
    </xf>
    <xf numFmtId="5" fontId="1" fillId="0" borderId="0" xfId="0" applyNumberFormat="1" applyFont="1" applyBorder="1" applyAlignment="1">
      <alignment horizontal="center" vertical="center"/>
    </xf>
    <xf numFmtId="0" fontId="0" fillId="0" borderId="0" xfId="0" applyFont="1" applyAlignment="1">
      <alignment/>
    </xf>
    <xf numFmtId="0" fontId="1" fillId="3" borderId="14" xfId="0" applyFont="1" applyFill="1" applyBorder="1" applyAlignment="1">
      <alignment horizontal="centerContinuous" vertical="center"/>
    </xf>
    <xf numFmtId="0" fontId="0" fillId="3" borderId="3" xfId="0" applyFill="1" applyBorder="1" applyAlignment="1">
      <alignment horizontal="centerContinuous" vertical="center"/>
    </xf>
    <xf numFmtId="0" fontId="0" fillId="3" borderId="10" xfId="0" applyFill="1" applyBorder="1" applyAlignment="1">
      <alignment horizontal="centerContinuous" vertical="center"/>
    </xf>
    <xf numFmtId="0" fontId="1" fillId="0" borderId="2" xfId="0" applyFont="1" applyBorder="1" applyAlignment="1">
      <alignment horizontal="right"/>
    </xf>
    <xf numFmtId="1" fontId="1" fillId="0" borderId="13" xfId="20" applyNumberFormat="1" applyFont="1" applyBorder="1" applyAlignment="1">
      <alignment horizontal="center" vertical="center"/>
      <protection/>
    </xf>
    <xf numFmtId="1" fontId="1" fillId="0" borderId="20" xfId="20" applyNumberFormat="1" applyFont="1" applyBorder="1" applyAlignment="1">
      <alignment horizontal="center" vertical="center"/>
      <protection/>
    </xf>
    <xf numFmtId="1" fontId="1" fillId="0" borderId="5" xfId="0" applyNumberFormat="1" applyFont="1" applyBorder="1" applyAlignment="1">
      <alignment horizontal="center" vertical="center"/>
    </xf>
    <xf numFmtId="1" fontId="1" fillId="0" borderId="14" xfId="0" applyNumberFormat="1" applyFont="1" applyBorder="1" applyAlignment="1">
      <alignment horizontal="center" vertical="center"/>
    </xf>
    <xf numFmtId="0" fontId="1" fillId="0" borderId="0" xfId="0" applyFont="1" applyBorder="1" applyAlignment="1">
      <alignment horizontal="right"/>
    </xf>
    <xf numFmtId="0" fontId="9" fillId="0" borderId="0" xfId="0" applyFont="1" applyAlignment="1">
      <alignment/>
    </xf>
    <xf numFmtId="0" fontId="0" fillId="0" borderId="3" xfId="0" applyFont="1" applyBorder="1" applyAlignment="1">
      <alignment/>
    </xf>
    <xf numFmtId="0" fontId="1" fillId="0" borderId="3" xfId="0" applyFont="1" applyBorder="1" applyAlignment="1">
      <alignment horizontal="right"/>
    </xf>
    <xf numFmtId="0" fontId="1" fillId="0" borderId="14" xfId="0" applyFont="1" applyBorder="1" applyAlignment="1">
      <alignment horizontal="centerContinuous"/>
    </xf>
    <xf numFmtId="0" fontId="0" fillId="0" borderId="3" xfId="0" applyBorder="1" applyAlignment="1">
      <alignment horizontal="centerContinuous"/>
    </xf>
    <xf numFmtId="0" fontId="7" fillId="0" borderId="21" xfId="0" applyFont="1" applyFill="1" applyBorder="1" applyAlignment="1">
      <alignment horizontal="center"/>
    </xf>
    <xf numFmtId="0" fontId="7" fillId="0" borderId="17" xfId="0" applyFont="1" applyFill="1" applyBorder="1" applyAlignment="1">
      <alignment horizontal="center"/>
    </xf>
    <xf numFmtId="0" fontId="1" fillId="0" borderId="4" xfId="0" applyFont="1" applyBorder="1" applyAlignment="1">
      <alignment horizontal="right"/>
    </xf>
    <xf numFmtId="0" fontId="0" fillId="0" borderId="0" xfId="0" applyFont="1" applyBorder="1" applyAlignment="1">
      <alignment/>
    </xf>
    <xf numFmtId="0" fontId="1" fillId="0" borderId="10" xfId="0" applyFont="1" applyBorder="1" applyAlignment="1">
      <alignment horizontal="centerContinuous"/>
    </xf>
    <xf numFmtId="0" fontId="0" fillId="0" borderId="0" xfId="0" applyFont="1" applyBorder="1" applyAlignment="1">
      <alignment horizontal="center"/>
    </xf>
    <xf numFmtId="0" fontId="0" fillId="0" borderId="2" xfId="0" applyBorder="1" applyAlignment="1">
      <alignment/>
    </xf>
    <xf numFmtId="0" fontId="1" fillId="0" borderId="0" xfId="0" applyFont="1" applyFill="1" applyBorder="1" applyAlignment="1">
      <alignment horizontal="center"/>
    </xf>
    <xf numFmtId="0" fontId="1" fillId="0" borderId="11" xfId="0" applyFont="1" applyBorder="1" applyAlignment="1">
      <alignment horizontal="right"/>
    </xf>
    <xf numFmtId="0" fontId="1" fillId="0" borderId="0" xfId="0" applyFont="1" applyBorder="1" applyAlignment="1">
      <alignment horizontal="center"/>
    </xf>
    <xf numFmtId="0" fontId="1" fillId="0" borderId="21" xfId="0" applyFont="1" applyFill="1" applyBorder="1" applyAlignment="1">
      <alignment horizontal="center"/>
    </xf>
    <xf numFmtId="0" fontId="1" fillId="0" borderId="21" xfId="0" applyFont="1" applyBorder="1" applyAlignment="1">
      <alignment horizontal="center"/>
    </xf>
    <xf numFmtId="0" fontId="0" fillId="0" borderId="11" xfId="0" applyFill="1" applyBorder="1" applyAlignment="1">
      <alignment horizontal="center"/>
    </xf>
    <xf numFmtId="0" fontId="1" fillId="0" borderId="11" xfId="0" applyFont="1" applyFill="1" applyBorder="1" applyAlignment="1">
      <alignment horizontal="center"/>
    </xf>
    <xf numFmtId="0" fontId="1" fillId="0" borderId="11" xfId="0" applyFont="1" applyBorder="1" applyAlignment="1">
      <alignment horizontal="center"/>
    </xf>
    <xf numFmtId="191" fontId="1" fillId="0" borderId="22" xfId="0" applyNumberFormat="1" applyFont="1" applyBorder="1" applyAlignment="1">
      <alignment horizontal="center"/>
    </xf>
    <xf numFmtId="3" fontId="1" fillId="0" borderId="23" xfId="0" applyNumberFormat="1" applyFont="1" applyBorder="1" applyAlignment="1">
      <alignment horizontal="center"/>
    </xf>
    <xf numFmtId="3" fontId="1" fillId="0" borderId="24" xfId="0" applyNumberFormat="1" applyFont="1" applyBorder="1" applyAlignment="1">
      <alignment horizontal="center"/>
    </xf>
    <xf numFmtId="3" fontId="1" fillId="0" borderId="22" xfId="0" applyNumberFormat="1" applyFont="1" applyBorder="1" applyAlignment="1">
      <alignment horizontal="center"/>
    </xf>
    <xf numFmtId="0" fontId="1" fillId="0" borderId="2" xfId="0" applyFont="1" applyBorder="1" applyAlignment="1">
      <alignment/>
    </xf>
    <xf numFmtId="0" fontId="1" fillId="0" borderId="25" xfId="0" applyFont="1" applyBorder="1" applyAlignment="1">
      <alignment horizontal="center"/>
    </xf>
    <xf numFmtId="0" fontId="1" fillId="0" borderId="26" xfId="0" applyFont="1" applyFill="1" applyBorder="1" applyAlignment="1">
      <alignment horizontal="center"/>
    </xf>
    <xf numFmtId="3" fontId="1" fillId="0" borderId="27" xfId="0" applyNumberFormat="1" applyFont="1" applyBorder="1" applyAlignment="1">
      <alignment horizontal="center"/>
    </xf>
    <xf numFmtId="3" fontId="1" fillId="0" borderId="20" xfId="0" applyNumberFormat="1" applyFont="1" applyBorder="1" applyAlignment="1">
      <alignment horizontal="center"/>
    </xf>
    <xf numFmtId="0" fontId="1" fillId="0" borderId="28" xfId="0" applyFont="1" applyBorder="1" applyAlignment="1">
      <alignment horizontal="center"/>
    </xf>
    <xf numFmtId="0" fontId="1" fillId="0" borderId="29" xfId="0" applyFont="1" applyFill="1" applyBorder="1" applyAlignment="1">
      <alignment horizontal="center"/>
    </xf>
    <xf numFmtId="3" fontId="1" fillId="0" borderId="30" xfId="0" applyNumberFormat="1" applyFont="1" applyBorder="1" applyAlignment="1">
      <alignment horizontal="center"/>
    </xf>
    <xf numFmtId="0" fontId="1" fillId="0" borderId="31" xfId="0" applyFont="1" applyBorder="1" applyAlignment="1">
      <alignment horizontal="center"/>
    </xf>
    <xf numFmtId="0" fontId="1" fillId="0" borderId="32" xfId="0" applyFont="1" applyFill="1" applyBorder="1" applyAlignment="1">
      <alignment horizontal="center"/>
    </xf>
    <xf numFmtId="3" fontId="1" fillId="0" borderId="33" xfId="0" applyNumberFormat="1"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horizontal="centerContinuous"/>
    </xf>
    <xf numFmtId="0" fontId="1" fillId="0" borderId="3" xfId="0" applyFont="1" applyBorder="1" applyAlignment="1">
      <alignment horizontal="center"/>
    </xf>
    <xf numFmtId="0" fontId="1" fillId="0" borderId="2" xfId="0" applyFont="1" applyBorder="1" applyAlignment="1">
      <alignment horizontal="center"/>
    </xf>
    <xf numFmtId="0" fontId="0" fillId="0" borderId="4" xfId="0" applyFont="1" applyBorder="1" applyAlignment="1">
      <alignment/>
    </xf>
    <xf numFmtId="0" fontId="1" fillId="0" borderId="0" xfId="0" applyFont="1" applyFill="1" applyBorder="1" applyAlignment="1">
      <alignment horizontal="centerContinuous"/>
    </xf>
    <xf numFmtId="15" fontId="1" fillId="0" borderId="0" xfId="0" applyNumberFormat="1" applyFont="1" applyFill="1" applyBorder="1" applyAlignment="1">
      <alignment horizontal="centerContinuous"/>
    </xf>
    <xf numFmtId="4" fontId="1" fillId="0" borderId="34" xfId="0" applyNumberFormat="1" applyFont="1" applyBorder="1" applyAlignment="1">
      <alignment horizontal="center"/>
    </xf>
    <xf numFmtId="1" fontId="1" fillId="0" borderId="27" xfId="20" applyNumberFormat="1" applyFont="1" applyBorder="1" applyAlignment="1">
      <alignment horizontal="center" vertical="center"/>
      <protection/>
    </xf>
    <xf numFmtId="0" fontId="1" fillId="0" borderId="30" xfId="0" applyFont="1" applyBorder="1" applyAlignment="1">
      <alignment horizontal="centerContinuous"/>
    </xf>
    <xf numFmtId="1" fontId="1" fillId="0" borderId="30" xfId="20" applyNumberFormat="1" applyFont="1" applyBorder="1" applyAlignment="1">
      <alignment horizontal="center" vertical="center"/>
      <protection/>
    </xf>
    <xf numFmtId="0" fontId="0" fillId="0" borderId="35" xfId="0" applyBorder="1" applyAlignment="1">
      <alignment/>
    </xf>
    <xf numFmtId="4" fontId="1" fillId="0" borderId="36" xfId="0" applyNumberFormat="1" applyFont="1" applyBorder="1" applyAlignment="1">
      <alignment horizontal="center"/>
    </xf>
    <xf numFmtId="0" fontId="1" fillId="0" borderId="33" xfId="0" applyFont="1" applyBorder="1" applyAlignment="1">
      <alignment horizontal="centerContinuous"/>
    </xf>
    <xf numFmtId="1" fontId="1" fillId="0" borderId="33" xfId="20" applyNumberFormat="1" applyFont="1" applyBorder="1" applyAlignment="1">
      <alignment horizontal="center" vertical="center"/>
      <protection/>
    </xf>
    <xf numFmtId="4" fontId="1" fillId="0" borderId="37" xfId="0" applyNumberFormat="1" applyFont="1" applyBorder="1" applyAlignment="1">
      <alignment horizontal="center"/>
    </xf>
    <xf numFmtId="4" fontId="1" fillId="0" borderId="32" xfId="0" applyNumberFormat="1" applyFont="1" applyBorder="1" applyAlignment="1">
      <alignment horizontal="center"/>
    </xf>
    <xf numFmtId="0" fontId="1" fillId="0" borderId="25" xfId="0" applyFont="1" applyFill="1" applyBorder="1" applyAlignment="1">
      <alignment horizontal="center"/>
    </xf>
    <xf numFmtId="3" fontId="1" fillId="0" borderId="27" xfId="0" applyNumberFormat="1" applyFont="1" applyFill="1" applyBorder="1" applyAlignment="1">
      <alignment horizontal="center"/>
    </xf>
    <xf numFmtId="3" fontId="1" fillId="0" borderId="20" xfId="0" applyNumberFormat="1" applyFont="1" applyFill="1" applyBorder="1" applyAlignment="1">
      <alignment horizontal="center"/>
    </xf>
    <xf numFmtId="3" fontId="1" fillId="0" borderId="26"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28" xfId="0" applyFont="1" applyFill="1" applyBorder="1" applyAlignment="1">
      <alignment horizontal="center"/>
    </xf>
    <xf numFmtId="3" fontId="1" fillId="0" borderId="30" xfId="0" applyNumberFormat="1" applyFont="1" applyFill="1" applyBorder="1" applyAlignment="1">
      <alignment horizontal="center"/>
    </xf>
    <xf numFmtId="3" fontId="1" fillId="0" borderId="38" xfId="0" applyNumberFormat="1" applyFont="1" applyFill="1" applyBorder="1" applyAlignment="1">
      <alignment horizontal="center"/>
    </xf>
    <xf numFmtId="3" fontId="1" fillId="0" borderId="29" xfId="0" applyNumberFormat="1" applyFont="1" applyFill="1" applyBorder="1" applyAlignment="1">
      <alignment horizontal="center"/>
    </xf>
    <xf numFmtId="4" fontId="1" fillId="0" borderId="38" xfId="0" applyNumberFormat="1" applyFont="1" applyFill="1" applyBorder="1" applyAlignment="1">
      <alignment horizontal="center"/>
    </xf>
    <xf numFmtId="0" fontId="1" fillId="0" borderId="31" xfId="0" applyFont="1" applyFill="1" applyBorder="1" applyAlignment="1">
      <alignment horizontal="center"/>
    </xf>
    <xf numFmtId="3" fontId="1" fillId="0" borderId="33" xfId="0" applyNumberFormat="1" applyFont="1" applyFill="1" applyBorder="1" applyAlignment="1">
      <alignment horizontal="center"/>
    </xf>
    <xf numFmtId="3" fontId="1" fillId="0" borderId="39" xfId="0" applyNumberFormat="1" applyFont="1" applyFill="1" applyBorder="1" applyAlignment="1">
      <alignment horizontal="center"/>
    </xf>
    <xf numFmtId="3" fontId="1" fillId="0" borderId="32" xfId="0" applyNumberFormat="1" applyFont="1" applyFill="1" applyBorder="1" applyAlignment="1">
      <alignment horizontal="center"/>
    </xf>
    <xf numFmtId="4" fontId="1" fillId="0" borderId="39" xfId="0" applyNumberFormat="1" applyFont="1" applyFill="1" applyBorder="1" applyAlignment="1">
      <alignment horizontal="center"/>
    </xf>
    <xf numFmtId="5" fontId="1" fillId="0" borderId="0" xfId="0" applyNumberFormat="1" applyFont="1" applyFill="1" applyBorder="1" applyAlignment="1">
      <alignment horizontal="center" vertical="center"/>
    </xf>
    <xf numFmtId="0" fontId="0" fillId="0" borderId="1" xfId="0" applyFill="1" applyBorder="1" applyAlignment="1">
      <alignment vertical="center"/>
    </xf>
    <xf numFmtId="0" fontId="1" fillId="0" borderId="6" xfId="0" applyFont="1" applyBorder="1" applyAlignment="1">
      <alignment horizontal="right" vertical="center"/>
    </xf>
    <xf numFmtId="0" fontId="1" fillId="0" borderId="5" xfId="0" applyFont="1" applyBorder="1" applyAlignment="1">
      <alignment horizontal="right" vertical="center"/>
    </xf>
    <xf numFmtId="0" fontId="1" fillId="0" borderId="23" xfId="0" applyFont="1" applyBorder="1" applyAlignment="1">
      <alignment horizontal="right" vertical="center"/>
    </xf>
    <xf numFmtId="0" fontId="0" fillId="0" borderId="6" xfId="0" applyBorder="1" applyAlignment="1">
      <alignment horizontal="centerContinuous"/>
    </xf>
    <xf numFmtId="0" fontId="0" fillId="0" borderId="2" xfId="0" applyBorder="1" applyAlignment="1">
      <alignment horizontal="center"/>
    </xf>
    <xf numFmtId="0" fontId="1" fillId="0" borderId="8" xfId="0" applyFont="1" applyBorder="1" applyAlignment="1">
      <alignment horizontal="right" vertical="center"/>
    </xf>
    <xf numFmtId="0" fontId="1" fillId="0" borderId="23" xfId="0" applyFont="1" applyFill="1" applyBorder="1" applyAlignment="1">
      <alignment horizontal="right" vertical="center"/>
    </xf>
    <xf numFmtId="0" fontId="1" fillId="0" borderId="5" xfId="0" applyFont="1" applyFill="1" applyBorder="1" applyAlignment="1">
      <alignment horizontal="right" vertical="center"/>
    </xf>
    <xf numFmtId="0" fontId="0" fillId="0" borderId="40" xfId="0" applyBorder="1" applyAlignment="1">
      <alignment vertical="center"/>
    </xf>
    <xf numFmtId="0" fontId="0" fillId="0" borderId="9" xfId="20" applyFont="1" applyBorder="1" applyAlignment="1">
      <alignment vertical="center"/>
      <protection/>
    </xf>
    <xf numFmtId="0" fontId="0" fillId="0" borderId="3" xfId="20" applyFont="1" applyBorder="1" applyAlignment="1">
      <alignment vertical="center"/>
      <protection/>
    </xf>
    <xf numFmtId="0" fontId="1" fillId="2" borderId="8" xfId="20" applyFont="1" applyFill="1" applyBorder="1" applyAlignment="1" applyProtection="1">
      <alignment horizontal="center" vertical="center"/>
      <protection locked="0"/>
    </xf>
    <xf numFmtId="0" fontId="1" fillId="4" borderId="22" xfId="0" applyFont="1" applyFill="1" applyBorder="1" applyAlignment="1">
      <alignment horizontal="center"/>
    </xf>
    <xf numFmtId="0" fontId="1" fillId="4" borderId="14" xfId="0" applyFont="1" applyFill="1" applyBorder="1" applyAlignment="1">
      <alignment horizontal="centerContinuous" vertical="center"/>
    </xf>
    <xf numFmtId="0" fontId="0" fillId="4" borderId="10" xfId="0" applyFill="1" applyBorder="1" applyAlignment="1">
      <alignment horizontal="centerContinuous" vertical="center"/>
    </xf>
    <xf numFmtId="0" fontId="1" fillId="4" borderId="10" xfId="0" applyFont="1" applyFill="1" applyBorder="1" applyAlignment="1">
      <alignment horizontal="centerContinuous" vertical="center"/>
    </xf>
    <xf numFmtId="0" fontId="0" fillId="4" borderId="3" xfId="0" applyFill="1" applyBorder="1" applyAlignment="1">
      <alignment horizontal="centerContinuous" vertical="center"/>
    </xf>
    <xf numFmtId="0" fontId="0" fillId="4" borderId="12" xfId="0" applyFill="1" applyBorder="1" applyAlignment="1">
      <alignment horizontal="centerContinuous" vertical="center"/>
    </xf>
    <xf numFmtId="0" fontId="1" fillId="4" borderId="41" xfId="0" applyFont="1" applyFill="1" applyBorder="1" applyAlignment="1">
      <alignment/>
    </xf>
    <xf numFmtId="0" fontId="0" fillId="4" borderId="41" xfId="0" applyFill="1" applyBorder="1" applyAlignment="1">
      <alignment/>
    </xf>
    <xf numFmtId="0" fontId="0" fillId="4" borderId="42" xfId="0" applyFill="1" applyBorder="1" applyAlignment="1">
      <alignment/>
    </xf>
    <xf numFmtId="0" fontId="0" fillId="4" borderId="4" xfId="0" applyFill="1" applyBorder="1" applyAlignment="1">
      <alignment/>
    </xf>
    <xf numFmtId="0" fontId="0" fillId="4" borderId="5" xfId="0" applyFill="1" applyBorder="1" applyAlignment="1">
      <alignment/>
    </xf>
    <xf numFmtId="0" fontId="1" fillId="4" borderId="9" xfId="0" applyFont="1" applyFill="1" applyBorder="1" applyAlignment="1">
      <alignment horizontal="centerContinuous"/>
    </xf>
    <xf numFmtId="0" fontId="1" fillId="4" borderId="8" xfId="0" applyFont="1" applyFill="1" applyBorder="1" applyAlignment="1">
      <alignment horizontal="centerContinuous"/>
    </xf>
    <xf numFmtId="0" fontId="1" fillId="4" borderId="2" xfId="0" applyFont="1" applyFill="1" applyBorder="1" applyAlignment="1">
      <alignment horizontal="centerContinuous"/>
    </xf>
    <xf numFmtId="0" fontId="1" fillId="4" borderId="6" xfId="0" applyFont="1" applyFill="1" applyBorder="1" applyAlignment="1">
      <alignment horizontal="centerContinuous"/>
    </xf>
    <xf numFmtId="15" fontId="1" fillId="4" borderId="7" xfId="0" applyNumberFormat="1" applyFont="1" applyFill="1" applyBorder="1" applyAlignment="1">
      <alignment horizontal="centerContinuous"/>
    </xf>
    <xf numFmtId="0" fontId="1" fillId="4" borderId="5" xfId="0" applyFont="1" applyFill="1" applyBorder="1" applyAlignment="1">
      <alignment horizontal="centerContinuous"/>
    </xf>
    <xf numFmtId="0" fontId="0" fillId="4" borderId="41" xfId="0" applyFont="1" applyFill="1" applyBorder="1" applyAlignment="1">
      <alignment/>
    </xf>
    <xf numFmtId="0" fontId="1" fillId="0" borderId="6" xfId="0" applyFont="1" applyBorder="1" applyAlignment="1">
      <alignment/>
    </xf>
    <xf numFmtId="5" fontId="1" fillId="0" borderId="4" xfId="0" applyNumberFormat="1" applyFont="1" applyBorder="1" applyAlignment="1">
      <alignment horizontal="center" vertical="center"/>
    </xf>
    <xf numFmtId="5" fontId="1" fillId="0" borderId="4" xfId="0" applyNumberFormat="1" applyFont="1" applyFill="1" applyBorder="1" applyAlignment="1">
      <alignment horizontal="center" vertical="center"/>
    </xf>
    <xf numFmtId="0" fontId="5" fillId="0" borderId="0" xfId="0" applyFont="1" applyAlignment="1">
      <alignment/>
    </xf>
    <xf numFmtId="0" fontId="1" fillId="4" borderId="10" xfId="0" applyFont="1" applyFill="1" applyBorder="1" applyAlignment="1">
      <alignment vertical="center"/>
    </xf>
    <xf numFmtId="0" fontId="1" fillId="4" borderId="12" xfId="0" applyFont="1" applyFill="1" applyBorder="1" applyAlignment="1">
      <alignment horizontal="right" vertical="center"/>
    </xf>
    <xf numFmtId="179" fontId="0" fillId="0" borderId="0" xfId="0" applyNumberFormat="1" applyAlignment="1">
      <alignment/>
    </xf>
    <xf numFmtId="0" fontId="1" fillId="0" borderId="0" xfId="0" applyFont="1" applyFill="1" applyBorder="1" applyAlignment="1">
      <alignment horizontal="right"/>
    </xf>
    <xf numFmtId="0" fontId="1" fillId="0" borderId="43" xfId="0" applyFont="1" applyFill="1" applyBorder="1" applyAlignment="1">
      <alignment horizontal="right"/>
    </xf>
    <xf numFmtId="1" fontId="0" fillId="0" borderId="6"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lignment horizontal="center"/>
    </xf>
    <xf numFmtId="191" fontId="1" fillId="0" borderId="24" xfId="0" applyNumberFormat="1" applyFont="1" applyBorder="1" applyAlignment="1">
      <alignment horizontal="center"/>
    </xf>
    <xf numFmtId="0" fontId="1" fillId="0" borderId="8" xfId="0" applyFont="1" applyBorder="1" applyAlignment="1">
      <alignment horizontal="centerContinuous"/>
    </xf>
    <xf numFmtId="0" fontId="1" fillId="0" borderId="0" xfId="0" applyFont="1" applyFill="1" applyBorder="1" applyAlignment="1">
      <alignment/>
    </xf>
    <xf numFmtId="15" fontId="1" fillId="0" borderId="0" xfId="0" applyNumberFormat="1" applyFont="1" applyFill="1" applyBorder="1" applyAlignment="1">
      <alignment/>
    </xf>
    <xf numFmtId="0" fontId="1" fillId="4" borderId="14" xfId="0" applyFont="1" applyFill="1" applyBorder="1" applyAlignment="1">
      <alignment horizontal="center"/>
    </xf>
    <xf numFmtId="0" fontId="1" fillId="0" borderId="9" xfId="0" applyFont="1" applyBorder="1" applyAlignment="1">
      <alignment horizontal="right"/>
    </xf>
    <xf numFmtId="173" fontId="1" fillId="0" borderId="2" xfId="15" applyNumberFormat="1" applyFont="1" applyBorder="1" applyAlignment="1">
      <alignment horizontal="right"/>
    </xf>
    <xf numFmtId="173" fontId="1" fillId="0" borderId="7" xfId="15" applyNumberFormat="1" applyFont="1" applyBorder="1" applyAlignment="1">
      <alignment horizontal="right"/>
    </xf>
    <xf numFmtId="0" fontId="1" fillId="0" borderId="7" xfId="0" applyFont="1" applyBorder="1" applyAlignment="1">
      <alignment horizontal="right"/>
    </xf>
    <xf numFmtId="0" fontId="1" fillId="0" borderId="9" xfId="0" applyFont="1" applyBorder="1" applyAlignment="1">
      <alignment horizontal="right" wrapText="1"/>
    </xf>
    <xf numFmtId="0" fontId="1" fillId="0" borderId="10" xfId="0" applyFont="1" applyBorder="1" applyAlignment="1">
      <alignment horizontal="center"/>
    </xf>
    <xf numFmtId="0" fontId="3" fillId="0" borderId="10" xfId="0" applyFont="1" applyBorder="1" applyAlignment="1">
      <alignment horizontal="right"/>
    </xf>
    <xf numFmtId="0" fontId="3" fillId="0" borderId="3" xfId="0" applyFont="1" applyBorder="1" applyAlignment="1">
      <alignment horizontal="right"/>
    </xf>
    <xf numFmtId="176" fontId="1" fillId="4" borderId="21" xfId="17" applyNumberFormat="1" applyFont="1" applyFill="1" applyBorder="1" applyAlignment="1" applyProtection="1">
      <alignment horizontal="center"/>
      <protection locked="0"/>
    </xf>
    <xf numFmtId="1" fontId="1" fillId="5" borderId="11" xfId="17" applyNumberFormat="1" applyFont="1" applyFill="1" applyBorder="1" applyAlignment="1" applyProtection="1">
      <alignment horizontal="center"/>
      <protection locked="0"/>
    </xf>
    <xf numFmtId="0" fontId="3" fillId="0" borderId="0" xfId="0" applyFont="1" applyBorder="1" applyAlignment="1">
      <alignment horizontal="right"/>
    </xf>
    <xf numFmtId="0" fontId="1" fillId="4" borderId="11" xfId="0" applyFont="1" applyFill="1" applyBorder="1" applyAlignment="1" applyProtection="1">
      <alignment horizontal="center"/>
      <protection locked="0"/>
    </xf>
    <xf numFmtId="9" fontId="1" fillId="4" borderId="21" xfId="21" applyFont="1" applyFill="1" applyBorder="1" applyAlignment="1" applyProtection="1">
      <alignment horizontal="center"/>
      <protection locked="0"/>
    </xf>
    <xf numFmtId="0" fontId="1" fillId="0" borderId="0" xfId="0" applyFont="1" applyFill="1" applyBorder="1" applyAlignment="1">
      <alignment/>
    </xf>
    <xf numFmtId="2" fontId="1" fillId="0" borderId="11" xfId="0" applyNumberFormat="1" applyFont="1" applyBorder="1" applyAlignment="1">
      <alignment horizontal="center"/>
    </xf>
    <xf numFmtId="171" fontId="1" fillId="0" borderId="11" xfId="0" applyNumberFormat="1" applyFont="1" applyBorder="1" applyAlignment="1">
      <alignment horizontal="center"/>
    </xf>
    <xf numFmtId="0" fontId="3" fillId="0" borderId="0" xfId="0" applyNumberFormat="1" applyFont="1" applyBorder="1" applyAlignment="1">
      <alignment horizontal="right"/>
    </xf>
    <xf numFmtId="0" fontId="3" fillId="0" borderId="4" xfId="0" applyNumberFormat="1" applyFont="1" applyBorder="1" applyAlignment="1">
      <alignment horizontal="right"/>
    </xf>
    <xf numFmtId="9" fontId="1" fillId="4" borderId="11" xfId="21" applyFont="1" applyFill="1" applyBorder="1" applyAlignment="1" applyProtection="1">
      <alignment horizontal="center"/>
      <protection locked="0"/>
    </xf>
    <xf numFmtId="171" fontId="1" fillId="0" borderId="28" xfId="0" applyNumberFormat="1" applyFont="1" applyFill="1" applyBorder="1" applyAlignment="1">
      <alignment horizontal="center"/>
    </xf>
    <xf numFmtId="171" fontId="1" fillId="0" borderId="28" xfId="17" applyNumberFormat="1" applyFont="1" applyFill="1" applyBorder="1" applyAlignment="1">
      <alignment horizontal="center"/>
    </xf>
    <xf numFmtId="171" fontId="1" fillId="4" borderId="11" xfId="0" applyNumberFormat="1" applyFont="1" applyFill="1" applyBorder="1" applyAlignment="1" applyProtection="1">
      <alignment horizontal="center"/>
      <protection locked="0"/>
    </xf>
    <xf numFmtId="1" fontId="1" fillId="0" borderId="28" xfId="0" applyNumberFormat="1" applyFont="1" applyBorder="1" applyAlignment="1">
      <alignment horizontal="center"/>
    </xf>
    <xf numFmtId="1" fontId="1" fillId="0" borderId="28" xfId="17" applyNumberFormat="1" applyFont="1" applyBorder="1" applyAlignment="1">
      <alignment horizontal="center"/>
    </xf>
    <xf numFmtId="0" fontId="3" fillId="4" borderId="10" xfId="0" applyFont="1" applyFill="1" applyBorder="1" applyAlignment="1">
      <alignment horizontal="right"/>
    </xf>
    <xf numFmtId="0" fontId="1" fillId="0" borderId="16" xfId="0" applyFont="1" applyBorder="1" applyAlignment="1">
      <alignment horizontal="center"/>
    </xf>
    <xf numFmtId="165" fontId="1" fillId="0" borderId="16" xfId="17" applyNumberFormat="1" applyFont="1" applyBorder="1" applyAlignment="1">
      <alignment horizontal="center"/>
    </xf>
    <xf numFmtId="3" fontId="1" fillId="0" borderId="11" xfId="0" applyNumberFormat="1" applyFont="1" applyBorder="1" applyAlignment="1">
      <alignment horizontal="center"/>
    </xf>
    <xf numFmtId="0" fontId="1" fillId="0" borderId="16" xfId="0" applyFont="1" applyBorder="1" applyAlignment="1">
      <alignment/>
    </xf>
    <xf numFmtId="0" fontId="1" fillId="0" borderId="0" xfId="0" applyFont="1" applyAlignment="1">
      <alignment horizontal="right"/>
    </xf>
    <xf numFmtId="0" fontId="1" fillId="0" borderId="0" xfId="0" applyFont="1" applyAlignment="1">
      <alignment horizontal="center"/>
    </xf>
    <xf numFmtId="0" fontId="1" fillId="0" borderId="4" xfId="0" applyFont="1" applyFill="1" applyBorder="1" applyAlignment="1">
      <alignment/>
    </xf>
    <xf numFmtId="0" fontId="0" fillId="0" borderId="44" xfId="0" applyBorder="1" applyAlignment="1">
      <alignment/>
    </xf>
    <xf numFmtId="0" fontId="0" fillId="0" borderId="44" xfId="0" applyBorder="1" applyAlignment="1">
      <alignment vertical="center"/>
    </xf>
    <xf numFmtId="0" fontId="1" fillId="0" borderId="45" xfId="0" applyFont="1" applyBorder="1" applyAlignment="1">
      <alignment/>
    </xf>
    <xf numFmtId="195" fontId="0" fillId="0" borderId="0" xfId="0" applyNumberFormat="1" applyBorder="1" applyAlignment="1">
      <alignment/>
    </xf>
    <xf numFmtId="195" fontId="0" fillId="0" borderId="44" xfId="0" applyNumberFormat="1" applyBorder="1" applyAlignment="1">
      <alignment/>
    </xf>
    <xf numFmtId="0" fontId="5" fillId="0" borderId="0" xfId="0" applyFont="1" applyBorder="1" applyAlignment="1">
      <alignment vertical="center"/>
    </xf>
    <xf numFmtId="11" fontId="1" fillId="0" borderId="45" xfId="0" applyNumberFormat="1" applyFont="1" applyBorder="1" applyAlignment="1">
      <alignment horizontal="center"/>
    </xf>
    <xf numFmtId="0" fontId="16" fillId="0" borderId="0" xfId="0" applyFont="1" applyAlignment="1">
      <alignment/>
    </xf>
    <xf numFmtId="0" fontId="0" fillId="0" borderId="11" xfId="0" applyBorder="1" applyAlignment="1">
      <alignment vertical="center"/>
    </xf>
    <xf numFmtId="0" fontId="0" fillId="0" borderId="6" xfId="0" applyFont="1" applyBorder="1" applyAlignment="1">
      <alignment vertical="center"/>
    </xf>
    <xf numFmtId="0" fontId="1" fillId="4" borderId="2" xfId="0" applyFont="1" applyFill="1" applyBorder="1" applyAlignment="1">
      <alignment horizontal="centerContinuous" vertical="center"/>
    </xf>
    <xf numFmtId="191" fontId="1" fillId="0" borderId="28" xfId="0" applyNumberFormat="1" applyFont="1" applyBorder="1" applyAlignment="1">
      <alignment horizontal="center"/>
    </xf>
    <xf numFmtId="14" fontId="1" fillId="4" borderId="7" xfId="0" applyNumberFormat="1" applyFont="1" applyFill="1" applyBorder="1" applyAlignment="1">
      <alignment horizontal="centerContinuous"/>
    </xf>
    <xf numFmtId="0" fontId="1" fillId="0" borderId="12" xfId="0" applyFont="1" applyBorder="1" applyAlignment="1">
      <alignment horizontal="centerContinuous"/>
    </xf>
    <xf numFmtId="0" fontId="7" fillId="0" borderId="21" xfId="0" applyFont="1" applyFill="1" applyBorder="1" applyAlignment="1">
      <alignment horizontal="center"/>
    </xf>
    <xf numFmtId="0" fontId="7" fillId="0" borderId="17" xfId="0" applyFont="1" applyFill="1" applyBorder="1" applyAlignment="1">
      <alignment horizontal="center"/>
    </xf>
    <xf numFmtId="0" fontId="1" fillId="0" borderId="5" xfId="0" applyFont="1" applyFill="1" applyBorder="1" applyAlignment="1">
      <alignment/>
    </xf>
    <xf numFmtId="0" fontId="1" fillId="0" borderId="9" xfId="0" applyFont="1" applyBorder="1" applyAlignment="1">
      <alignment/>
    </xf>
    <xf numFmtId="0" fontId="1" fillId="0" borderId="7" xfId="0" applyFont="1" applyBorder="1" applyAlignment="1">
      <alignment/>
    </xf>
    <xf numFmtId="0" fontId="1" fillId="4" borderId="43" xfId="0" applyFont="1" applyFill="1" applyBorder="1" applyAlignment="1">
      <alignment/>
    </xf>
    <xf numFmtId="0" fontId="17" fillId="0" borderId="2" xfId="0" applyFont="1" applyBorder="1" applyAlignment="1">
      <alignment/>
    </xf>
    <xf numFmtId="0" fontId="17" fillId="0" borderId="4" xfId="0" applyFont="1" applyBorder="1" applyAlignment="1">
      <alignment vertical="center"/>
    </xf>
    <xf numFmtId="0" fontId="10" fillId="0" borderId="4" xfId="0" applyFont="1" applyBorder="1" applyAlignment="1">
      <alignment horizontal="right" vertical="center"/>
    </xf>
    <xf numFmtId="0" fontId="17" fillId="0" borderId="6" xfId="0" applyFont="1" applyBorder="1" applyAlignment="1">
      <alignment/>
    </xf>
    <xf numFmtId="0" fontId="17" fillId="0" borderId="0" xfId="0" applyFont="1" applyAlignment="1">
      <alignment/>
    </xf>
    <xf numFmtId="0" fontId="12" fillId="0" borderId="0" xfId="0" applyFont="1" applyAlignment="1">
      <alignment horizontal="right"/>
    </xf>
    <xf numFmtId="188" fontId="0" fillId="0" borderId="0" xfId="0" applyNumberFormat="1" applyBorder="1" applyAlignment="1">
      <alignment vertical="center"/>
    </xf>
    <xf numFmtId="169" fontId="0" fillId="0" borderId="0" xfId="0" applyNumberFormat="1" applyBorder="1" applyAlignment="1">
      <alignment/>
    </xf>
    <xf numFmtId="6" fontId="1" fillId="0" borderId="0" xfId="20" applyNumberFormat="1" applyFont="1" applyBorder="1" applyAlignment="1">
      <alignment horizontal="center"/>
      <protection/>
    </xf>
    <xf numFmtId="0" fontId="1" fillId="4" borderId="30" xfId="0" applyFont="1" applyFill="1" applyBorder="1" applyAlignment="1" applyProtection="1">
      <alignment horizontal="centerContinuous" vertical="center"/>
      <protection locked="0"/>
    </xf>
    <xf numFmtId="0" fontId="1" fillId="4" borderId="30" xfId="0" applyFont="1" applyFill="1" applyBorder="1" applyAlignment="1" applyProtection="1">
      <alignment horizontal="center" vertical="center"/>
      <protection locked="0"/>
    </xf>
    <xf numFmtId="0" fontId="1" fillId="4" borderId="30" xfId="20" applyFont="1" applyFill="1" applyBorder="1" applyAlignment="1" applyProtection="1">
      <alignment horizontal="centerContinuous" vertical="center"/>
      <protection locked="0"/>
    </xf>
    <xf numFmtId="0" fontId="1" fillId="4" borderId="30" xfId="2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0" fillId="3" borderId="11" xfId="0" applyFont="1" applyFill="1" applyBorder="1" applyAlignment="1" applyProtection="1">
      <alignment horizontal="center" vertical="center"/>
      <protection locked="0"/>
    </xf>
    <xf numFmtId="0" fontId="0" fillId="3" borderId="11" xfId="2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vertical="center"/>
    </xf>
    <xf numFmtId="0" fontId="1" fillId="0" borderId="11" xfId="0" applyFont="1" applyFill="1" applyBorder="1" applyAlignment="1">
      <alignment horizontal="center" vertical="center"/>
    </xf>
    <xf numFmtId="0" fontId="0" fillId="3" borderId="11" xfId="0" applyFont="1" applyFill="1" applyBorder="1" applyAlignment="1">
      <alignment vertical="center"/>
    </xf>
    <xf numFmtId="0" fontId="0" fillId="3" borderId="11" xfId="0" applyFont="1" applyFill="1" applyBorder="1" applyAlignment="1">
      <alignment horizontal="centerContinuous" vertical="center"/>
    </xf>
    <xf numFmtId="0" fontId="1" fillId="3" borderId="11" xfId="0" applyFont="1" applyFill="1" applyBorder="1" applyAlignment="1">
      <alignment horizontal="centerContinuous" vertical="center"/>
    </xf>
    <xf numFmtId="0" fontId="0" fillId="3" borderId="11" xfId="0" applyFill="1" applyBorder="1" applyAlignment="1">
      <alignment horizontal="centerContinuous" vertical="center"/>
    </xf>
    <xf numFmtId="0" fontId="0" fillId="3" borderId="11" xfId="0" applyFill="1" applyBorder="1" applyAlignment="1">
      <alignment horizontal="center" vertical="center"/>
    </xf>
    <xf numFmtId="7" fontId="1" fillId="4" borderId="30" xfId="17" applyNumberFormat="1" applyFont="1" applyFill="1" applyBorder="1" applyAlignment="1">
      <alignment horizontal="center" vertical="center"/>
    </xf>
    <xf numFmtId="8" fontId="1" fillId="4" borderId="30" xfId="0" applyNumberFormat="1" applyFont="1" applyFill="1" applyBorder="1" applyAlignment="1">
      <alignment horizontal="center" vertical="center"/>
    </xf>
    <xf numFmtId="180"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5" fontId="19" fillId="0" borderId="7" xfId="0" applyNumberFormat="1" applyFont="1" applyBorder="1" applyAlignment="1">
      <alignment vertical="center"/>
    </xf>
    <xf numFmtId="170" fontId="0" fillId="0" borderId="0" xfId="0" applyNumberFormat="1" applyBorder="1" applyAlignment="1">
      <alignment/>
    </xf>
    <xf numFmtId="170" fontId="0" fillId="0" borderId="44" xfId="0" applyNumberFormat="1" applyBorder="1" applyAlignment="1">
      <alignment/>
    </xf>
    <xf numFmtId="0" fontId="1" fillId="3" borderId="12" xfId="0" applyFont="1" applyFill="1" applyBorder="1" applyAlignment="1">
      <alignment horizontal="right" vertical="center"/>
    </xf>
    <xf numFmtId="0" fontId="0" fillId="0" borderId="10" xfId="0" applyBorder="1" applyAlignment="1">
      <alignment vertical="center"/>
    </xf>
    <xf numFmtId="0" fontId="1" fillId="0" borderId="10" xfId="0" applyFont="1" applyBorder="1" applyAlignment="1">
      <alignment horizontal="right" vertical="center"/>
    </xf>
    <xf numFmtId="0" fontId="0" fillId="0" borderId="5" xfId="0" applyFont="1" applyBorder="1" applyAlignment="1">
      <alignment vertical="center"/>
    </xf>
    <xf numFmtId="0" fontId="0" fillId="0" borderId="17" xfId="0" applyBorder="1" applyAlignment="1">
      <alignment vertical="center"/>
    </xf>
    <xf numFmtId="180" fontId="1" fillId="0" borderId="46" xfId="0" applyNumberFormat="1" applyFont="1" applyFill="1" applyBorder="1" applyAlignment="1">
      <alignment horizontal="center" vertical="center"/>
    </xf>
    <xf numFmtId="0" fontId="0" fillId="4" borderId="0" xfId="0" applyFill="1" applyBorder="1" applyAlignment="1">
      <alignment horizontal="centerContinuous"/>
    </xf>
    <xf numFmtId="0" fontId="1" fillId="0" borderId="9" xfId="0" applyFont="1" applyBorder="1" applyAlignment="1">
      <alignment/>
    </xf>
    <xf numFmtId="180" fontId="1" fillId="0" borderId="30" xfId="21" applyNumberFormat="1" applyFont="1" applyFill="1" applyBorder="1" applyAlignment="1">
      <alignment horizontal="center" vertical="center"/>
    </xf>
    <xf numFmtId="0" fontId="0" fillId="0" borderId="8" xfId="0" applyBorder="1" applyAlignment="1">
      <alignment horizontal="centerContinuous"/>
    </xf>
    <xf numFmtId="0" fontId="1" fillId="0" borderId="11" xfId="0" applyFont="1" applyBorder="1" applyAlignment="1">
      <alignment/>
    </xf>
    <xf numFmtId="0" fontId="0" fillId="0" borderId="11" xfId="0" applyFont="1" applyBorder="1" applyAlignment="1">
      <alignment horizontal="center"/>
    </xf>
    <xf numFmtId="0" fontId="1" fillId="4" borderId="47" xfId="0" applyFont="1" applyFill="1" applyBorder="1" applyAlignment="1">
      <alignment/>
    </xf>
    <xf numFmtId="0" fontId="1" fillId="0" borderId="7" xfId="0" applyFont="1" applyFill="1" applyBorder="1" applyAlignment="1">
      <alignment/>
    </xf>
    <xf numFmtId="0" fontId="1" fillId="4" borderId="48" xfId="0" applyFont="1" applyFill="1" applyBorder="1" applyAlignment="1">
      <alignment horizontal="right" vertical="center"/>
    </xf>
    <xf numFmtId="0" fontId="0" fillId="4" borderId="14" xfId="0" applyFill="1" applyBorder="1" applyAlignment="1">
      <alignment/>
    </xf>
    <xf numFmtId="0" fontId="1" fillId="4" borderId="12" xfId="0" applyFont="1" applyFill="1" applyBorder="1" applyAlignment="1">
      <alignment horizontal="center"/>
    </xf>
    <xf numFmtId="0" fontId="1" fillId="0" borderId="32" xfId="0" applyFont="1" applyBorder="1" applyAlignment="1">
      <alignment horizontal="centerContinuous" vertical="center"/>
    </xf>
    <xf numFmtId="0" fontId="1" fillId="0" borderId="39" xfId="0" applyFont="1" applyBorder="1" applyAlignment="1">
      <alignment horizontal="center" vertical="center"/>
    </xf>
    <xf numFmtId="0" fontId="1" fillId="0" borderId="49" xfId="0" applyFont="1" applyFill="1" applyBorder="1" applyAlignment="1">
      <alignment horizontal="centerContinuous" vertical="center"/>
    </xf>
    <xf numFmtId="0" fontId="1" fillId="0" borderId="36" xfId="0" applyFont="1" applyFill="1" applyBorder="1" applyAlignment="1">
      <alignment horizontal="centerContinuous" vertical="center"/>
    </xf>
    <xf numFmtId="194" fontId="1" fillId="0" borderId="26" xfId="0" applyNumberFormat="1" applyFont="1" applyFill="1" applyBorder="1" applyAlignment="1">
      <alignment horizontal="center" vertical="center"/>
    </xf>
    <xf numFmtId="194" fontId="1" fillId="0" borderId="27" xfId="0" applyNumberFormat="1" applyFont="1" applyFill="1" applyBorder="1" applyAlignment="1">
      <alignment horizontal="center" vertical="center"/>
    </xf>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0" borderId="49" xfId="0" applyFont="1" applyBorder="1" applyAlignment="1">
      <alignment horizontal="center"/>
    </xf>
    <xf numFmtId="0" fontId="1" fillId="0" borderId="55" xfId="0" applyFont="1" applyBorder="1" applyAlignment="1">
      <alignment horizontal="center"/>
    </xf>
    <xf numFmtId="0" fontId="1" fillId="0" borderId="36" xfId="0" applyFont="1" applyBorder="1" applyAlignment="1">
      <alignment horizontal="right" vertical="center"/>
    </xf>
    <xf numFmtId="181" fontId="1" fillId="0" borderId="18" xfId="0" applyNumberFormat="1" applyFont="1" applyBorder="1" applyAlignment="1">
      <alignment horizontal="center"/>
    </xf>
    <xf numFmtId="181" fontId="1" fillId="0" borderId="24" xfId="0" applyNumberFormat="1" applyFont="1" applyBorder="1" applyAlignment="1">
      <alignment horizontal="center"/>
    </xf>
    <xf numFmtId="181" fontId="1" fillId="0" borderId="20" xfId="0" applyNumberFormat="1" applyFont="1" applyBorder="1" applyAlignment="1">
      <alignment horizontal="center"/>
    </xf>
    <xf numFmtId="1" fontId="1" fillId="4" borderId="46" xfId="0" applyNumberFormat="1" applyFont="1" applyFill="1" applyBorder="1" applyAlignment="1">
      <alignment horizontal="center" vertical="center"/>
    </xf>
    <xf numFmtId="0" fontId="0" fillId="4" borderId="3" xfId="0" applyFill="1" applyBorder="1" applyAlignment="1">
      <alignment/>
    </xf>
    <xf numFmtId="0" fontId="0" fillId="4" borderId="0" xfId="0" applyFill="1" applyBorder="1" applyAlignment="1">
      <alignment/>
    </xf>
    <xf numFmtId="0" fontId="1" fillId="0" borderId="9" xfId="0" applyFont="1" applyBorder="1" applyAlignment="1">
      <alignment vertical="center"/>
    </xf>
    <xf numFmtId="0" fontId="1" fillId="4" borderId="16" xfId="0" applyFont="1" applyFill="1" applyBorder="1" applyAlignment="1">
      <alignment horizontal="center" wrapText="1"/>
    </xf>
    <xf numFmtId="0" fontId="1" fillId="0" borderId="0" xfId="0" applyFont="1" applyAlignment="1">
      <alignment wrapText="1"/>
    </xf>
    <xf numFmtId="2" fontId="14" fillId="4" borderId="11" xfId="0" applyNumberFormat="1" applyFont="1" applyFill="1" applyBorder="1" applyAlignment="1" applyProtection="1">
      <alignment horizontal="center"/>
      <protection locked="0"/>
    </xf>
    <xf numFmtId="2" fontId="14" fillId="0" borderId="11" xfId="0" applyNumberFormat="1" applyFont="1" applyBorder="1" applyAlignment="1">
      <alignment horizontal="center"/>
    </xf>
    <xf numFmtId="9" fontId="14" fillId="4" borderId="11" xfId="21" applyFont="1" applyFill="1" applyBorder="1" applyAlignment="1" applyProtection="1">
      <alignment horizontal="center"/>
      <protection locked="0"/>
    </xf>
    <xf numFmtId="0" fontId="14" fillId="4" borderId="11" xfId="21" applyNumberFormat="1" applyFont="1" applyFill="1" applyBorder="1" applyAlignment="1" applyProtection="1">
      <alignment horizontal="center"/>
      <protection locked="0"/>
    </xf>
    <xf numFmtId="2" fontId="11" fillId="4" borderId="11" xfId="0" applyNumberFormat="1" applyFont="1" applyFill="1" applyBorder="1" applyAlignment="1" applyProtection="1">
      <alignment horizontal="center"/>
      <protection locked="0"/>
    </xf>
    <xf numFmtId="0" fontId="1" fillId="0" borderId="3" xfId="0" applyFont="1" applyBorder="1" applyAlignment="1" quotePrefix="1">
      <alignment horizontal="left"/>
    </xf>
    <xf numFmtId="6" fontId="1" fillId="4" borderId="11" xfId="0" applyNumberFormat="1" applyFont="1" applyFill="1" applyBorder="1" applyAlignment="1" applyProtection="1">
      <alignment horizontal="center"/>
      <protection locked="0"/>
    </xf>
    <xf numFmtId="6" fontId="1" fillId="4" borderId="11" xfId="17" applyNumberFormat="1" applyFont="1" applyFill="1" applyBorder="1" applyAlignment="1" applyProtection="1">
      <alignment horizontal="center"/>
      <protection locked="0"/>
    </xf>
    <xf numFmtId="6" fontId="1" fillId="0" borderId="16" xfId="17" applyNumberFormat="1" applyFont="1" applyBorder="1" applyAlignment="1">
      <alignment horizontal="center"/>
    </xf>
    <xf numFmtId="6" fontId="1" fillId="0" borderId="17" xfId="0" applyNumberFormat="1" applyFont="1" applyBorder="1" applyAlignment="1">
      <alignment horizontal="center"/>
    </xf>
    <xf numFmtId="6" fontId="1" fillId="0" borderId="16" xfId="0" applyNumberFormat="1" applyFont="1" applyBorder="1" applyAlignment="1">
      <alignment horizontal="center" wrapText="1"/>
    </xf>
    <xf numFmtId="6" fontId="1" fillId="0" borderId="16" xfId="0" applyNumberFormat="1" applyFont="1" applyBorder="1" applyAlignment="1">
      <alignment horizontal="center"/>
    </xf>
    <xf numFmtId="6" fontId="1" fillId="4" borderId="11" xfId="0" applyNumberFormat="1" applyFont="1" applyFill="1" applyBorder="1" applyAlignment="1" applyProtection="1">
      <alignment horizontal="center" wrapText="1"/>
      <protection locked="0"/>
    </xf>
    <xf numFmtId="173" fontId="3" fillId="4" borderId="35" xfId="0" applyNumberFormat="1" applyFont="1" applyFill="1" applyBorder="1" applyAlignment="1">
      <alignment horizontal="right"/>
    </xf>
    <xf numFmtId="0" fontId="3" fillId="4" borderId="3" xfId="0" applyFont="1" applyFill="1" applyBorder="1" applyAlignment="1">
      <alignment horizontal="right"/>
    </xf>
    <xf numFmtId="0" fontId="3" fillId="4" borderId="10" xfId="0" applyFont="1" applyFill="1" applyBorder="1" applyAlignment="1">
      <alignment horizontal="right" wrapText="1"/>
    </xf>
    <xf numFmtId="0" fontId="1" fillId="6" borderId="10" xfId="0" applyFont="1" applyFill="1" applyBorder="1" applyAlignment="1">
      <alignment horizontal="right"/>
    </xf>
    <xf numFmtId="5" fontId="1" fillId="0" borderId="11" xfId="0" applyNumberFormat="1" applyFont="1" applyBorder="1" applyAlignment="1">
      <alignment horizontal="center"/>
    </xf>
    <xf numFmtId="5" fontId="1" fillId="0" borderId="11" xfId="17" applyNumberFormat="1" applyFont="1" applyBorder="1" applyAlignment="1">
      <alignment horizontal="center"/>
    </xf>
    <xf numFmtId="5" fontId="1" fillId="0" borderId="17" xfId="0" applyNumberFormat="1" applyFont="1" applyBorder="1" applyAlignment="1">
      <alignment horizontal="center"/>
    </xf>
    <xf numFmtId="5" fontId="1" fillId="0" borderId="17" xfId="17" applyNumberFormat="1" applyFont="1" applyBorder="1" applyAlignment="1">
      <alignment horizontal="center"/>
    </xf>
    <xf numFmtId="5" fontId="1" fillId="0" borderId="11" xfId="17" applyNumberFormat="1" applyFont="1" applyFill="1" applyBorder="1" applyAlignment="1" applyProtection="1">
      <alignment horizontal="center"/>
      <protection locked="0"/>
    </xf>
    <xf numFmtId="5" fontId="1" fillId="0" borderId="21" xfId="17" applyNumberFormat="1" applyFont="1" applyBorder="1" applyAlignment="1">
      <alignment horizontal="center"/>
    </xf>
    <xf numFmtId="5" fontId="1" fillId="0" borderId="21" xfId="0" applyNumberFormat="1" applyFont="1" applyBorder="1" applyAlignment="1">
      <alignment horizontal="center"/>
    </xf>
    <xf numFmtId="8" fontId="21" fillId="4" borderId="30" xfId="0" applyNumberFormat="1" applyFont="1" applyFill="1" applyBorder="1" applyAlignment="1">
      <alignment horizontal="center" vertical="center"/>
    </xf>
    <xf numFmtId="0" fontId="21" fillId="0" borderId="11" xfId="0" applyFont="1" applyFill="1" applyBorder="1" applyAlignment="1">
      <alignment horizontal="center" vertical="center"/>
    </xf>
    <xf numFmtId="180" fontId="1" fillId="0" borderId="46" xfId="0" applyNumberFormat="1" applyFont="1" applyFill="1" applyBorder="1" applyAlignment="1">
      <alignment horizontal="center" vertical="center"/>
    </xf>
    <xf numFmtId="0" fontId="0" fillId="0" borderId="2" xfId="0" applyFill="1" applyBorder="1" applyAlignment="1">
      <alignment vertical="center"/>
    </xf>
    <xf numFmtId="0" fontId="0" fillId="0" borderId="0" xfId="0" applyFill="1" applyBorder="1" applyAlignment="1">
      <alignment vertical="center"/>
    </xf>
    <xf numFmtId="0" fontId="1" fillId="0" borderId="6" xfId="0" applyFont="1" applyFill="1" applyBorder="1" applyAlignment="1">
      <alignment horizontal="right" vertical="center"/>
    </xf>
    <xf numFmtId="0" fontId="1" fillId="0" borderId="1" xfId="0" applyFont="1" applyFill="1" applyBorder="1" applyAlignment="1">
      <alignment horizontal="right" vertical="center"/>
    </xf>
    <xf numFmtId="0" fontId="0" fillId="0" borderId="7" xfId="0" applyFill="1" applyBorder="1" applyAlignment="1">
      <alignment vertical="center"/>
    </xf>
    <xf numFmtId="0" fontId="0" fillId="0" borderId="5" xfId="0" applyFill="1" applyBorder="1" applyAlignment="1">
      <alignment vertical="center"/>
    </xf>
    <xf numFmtId="0" fontId="0" fillId="0" borderId="13" xfId="0" applyFill="1" applyBorder="1" applyAlignment="1">
      <alignment vertical="center"/>
    </xf>
    <xf numFmtId="0" fontId="0" fillId="0" borderId="23" xfId="0" applyFill="1" applyBorder="1" applyAlignment="1">
      <alignment vertical="center"/>
    </xf>
    <xf numFmtId="0" fontId="22" fillId="0" borderId="0" xfId="0" applyFont="1" applyFill="1" applyAlignment="1">
      <alignment/>
    </xf>
    <xf numFmtId="0" fontId="0" fillId="0" borderId="0" xfId="0" applyFill="1" applyAlignment="1">
      <alignment/>
    </xf>
    <xf numFmtId="0" fontId="0" fillId="0" borderId="0" xfId="0" applyFont="1" applyFill="1" applyAlignment="1">
      <alignment/>
    </xf>
    <xf numFmtId="0" fontId="17" fillId="0" borderId="11" xfId="0" applyFont="1" applyBorder="1" applyAlignment="1">
      <alignment vertical="center"/>
    </xf>
    <xf numFmtId="0" fontId="0" fillId="4" borderId="11" xfId="0" applyFont="1" applyFill="1" applyBorder="1" applyAlignment="1">
      <alignment vertical="center"/>
    </xf>
    <xf numFmtId="0" fontId="1" fillId="4" borderId="14" xfId="0" applyFont="1" applyFill="1" applyBorder="1" applyAlignment="1">
      <alignment horizontal="centerContinuous"/>
    </xf>
    <xf numFmtId="0" fontId="0" fillId="4" borderId="10" xfId="0" applyFill="1" applyBorder="1" applyAlignment="1">
      <alignment horizontal="centerContinuous"/>
    </xf>
    <xf numFmtId="0" fontId="0" fillId="4" borderId="12" xfId="0" applyFill="1" applyBorder="1" applyAlignment="1">
      <alignment horizontal="centerContinuous"/>
    </xf>
    <xf numFmtId="0" fontId="1" fillId="4" borderId="12" xfId="0" applyFont="1" applyFill="1" applyBorder="1" applyAlignment="1">
      <alignment horizontal="centerContinuous"/>
    </xf>
    <xf numFmtId="0" fontId="23" fillId="4" borderId="9" xfId="0" applyFont="1" applyFill="1" applyBorder="1" applyAlignment="1">
      <alignment horizontal="center"/>
    </xf>
    <xf numFmtId="173" fontId="23" fillId="4" borderId="49" xfId="15" applyNumberFormat="1" applyFont="1" applyFill="1" applyBorder="1" applyAlignment="1">
      <alignment horizontal="right"/>
    </xf>
    <xf numFmtId="173" fontId="23" fillId="4" borderId="49" xfId="15" applyNumberFormat="1" applyFont="1" applyFill="1" applyBorder="1" applyAlignment="1">
      <alignment horizontal="center"/>
    </xf>
    <xf numFmtId="0" fontId="23" fillId="4" borderId="14" xfId="0" applyFont="1" applyFill="1" applyBorder="1" applyAlignment="1">
      <alignment horizontal="center"/>
    </xf>
    <xf numFmtId="0" fontId="23" fillId="4" borderId="14" xfId="0" applyFont="1" applyFill="1" applyBorder="1" applyAlignment="1">
      <alignment horizontal="right" wrapText="1"/>
    </xf>
    <xf numFmtId="0" fontId="0" fillId="0" borderId="10" xfId="0" applyBorder="1" applyAlignment="1">
      <alignment/>
    </xf>
    <xf numFmtId="171" fontId="14" fillId="4" borderId="11" xfId="0" applyNumberFormat="1" applyFont="1" applyFill="1" applyBorder="1" applyAlignment="1" applyProtection="1">
      <alignment horizontal="center"/>
      <protection locked="0"/>
    </xf>
    <xf numFmtId="171" fontId="11" fillId="0" borderId="11" xfId="0" applyNumberFormat="1" applyFont="1" applyFill="1" applyBorder="1" applyAlignment="1" applyProtection="1">
      <alignment horizontal="center"/>
      <protection locked="0"/>
    </xf>
    <xf numFmtId="0" fontId="1" fillId="0" borderId="21" xfId="0" applyFont="1" applyFill="1" applyBorder="1" applyAlignment="1">
      <alignment horizontal="left"/>
    </xf>
    <xf numFmtId="0" fontId="1" fillId="0" borderId="3" xfId="0" applyFont="1" applyBorder="1" applyAlignment="1" applyProtection="1">
      <alignment horizontal="right" vertical="center"/>
      <protection locked="0"/>
    </xf>
    <xf numFmtId="1" fontId="1" fillId="4" borderId="2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protection locked="0"/>
    </xf>
    <xf numFmtId="10" fontId="1" fillId="4" borderId="22" xfId="0" applyNumberFormat="1" applyFont="1" applyFill="1" applyBorder="1" applyAlignment="1" applyProtection="1">
      <alignment horizontal="center" vertical="center"/>
      <protection locked="0"/>
    </xf>
    <xf numFmtId="0" fontId="1" fillId="0" borderId="4" xfId="0" applyFont="1" applyBorder="1" applyAlignment="1" applyProtection="1">
      <alignment horizontal="right" vertical="center"/>
      <protection locked="0"/>
    </xf>
    <xf numFmtId="0" fontId="1" fillId="4" borderId="17" xfId="0" applyFont="1" applyFill="1" applyBorder="1" applyAlignment="1" applyProtection="1">
      <alignment horizontal="center" vertical="center"/>
      <protection locked="0"/>
    </xf>
    <xf numFmtId="180" fontId="1" fillId="4" borderId="46" xfId="0" applyNumberFormat="1"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protection locked="0"/>
    </xf>
    <xf numFmtId="180" fontId="1" fillId="0" borderId="30" xfId="21" applyNumberFormat="1" applyFont="1" applyFill="1" applyBorder="1" applyAlignment="1" applyProtection="1">
      <alignment horizontal="center" vertical="center"/>
      <protection locked="0"/>
    </xf>
    <xf numFmtId="180" fontId="1" fillId="4" borderId="30" xfId="21" applyNumberFormat="1" applyFont="1" applyFill="1" applyBorder="1" applyAlignment="1" applyProtection="1">
      <alignment horizontal="center" vertical="center"/>
      <protection locked="0"/>
    </xf>
    <xf numFmtId="7" fontId="21" fillId="4" borderId="30" xfId="17" applyNumberFormat="1" applyFont="1" applyFill="1" applyBorder="1" applyAlignment="1" applyProtection="1">
      <alignment horizontal="center" vertical="center"/>
      <protection locked="0"/>
    </xf>
    <xf numFmtId="8" fontId="21" fillId="4" borderId="30"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Continuous" vertical="center"/>
      <protection locked="0"/>
    </xf>
    <xf numFmtId="0" fontId="1" fillId="0" borderId="12" xfId="0" applyFont="1" applyFill="1" applyBorder="1" applyAlignment="1" applyProtection="1">
      <alignment horizontal="centerContinuous" vertical="center"/>
      <protection locked="0"/>
    </xf>
    <xf numFmtId="0" fontId="1" fillId="0" borderId="11" xfId="0" applyFont="1" applyBorder="1" applyAlignment="1" applyProtection="1">
      <alignment vertical="center"/>
      <protection locked="0"/>
    </xf>
    <xf numFmtId="0" fontId="1" fillId="4" borderId="55" xfId="0" applyFont="1" applyFill="1" applyBorder="1" applyAlignment="1" applyProtection="1">
      <alignment horizontal="centerContinuous" vertical="center" wrapText="1"/>
      <protection locked="0"/>
    </xf>
    <xf numFmtId="0" fontId="1" fillId="4" borderId="12" xfId="0" applyFont="1" applyFill="1" applyBorder="1" applyAlignment="1" applyProtection="1">
      <alignment horizontal="centerContinuous" vertical="center" wrapText="1"/>
      <protection locked="0"/>
    </xf>
    <xf numFmtId="0" fontId="1" fillId="4" borderId="12" xfId="0" applyFont="1" applyFill="1" applyBorder="1" applyAlignment="1" applyProtection="1">
      <alignment horizontal="centerContinuous" vertical="center"/>
      <protection locked="0"/>
    </xf>
    <xf numFmtId="0" fontId="1" fillId="4" borderId="14" xfId="0" applyFont="1" applyFill="1" applyBorder="1" applyAlignment="1" applyProtection="1">
      <alignment horizontal="centerContinuous" vertical="center"/>
      <protection locked="0"/>
    </xf>
    <xf numFmtId="0" fontId="1" fillId="0" borderId="33"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171" fontId="1" fillId="4" borderId="30" xfId="0" applyNumberFormat="1"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171" fontId="1" fillId="4" borderId="56" xfId="0" applyNumberFormat="1" applyFont="1" applyFill="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3" fontId="1" fillId="4" borderId="30" xfId="0" applyNumberFormat="1" applyFont="1" applyFill="1" applyBorder="1" applyAlignment="1" applyProtection="1">
      <alignment horizontal="center" vertical="center"/>
      <protection locked="0"/>
    </xf>
    <xf numFmtId="180" fontId="1" fillId="4" borderId="30" xfId="0" applyNumberFormat="1" applyFont="1" applyFill="1" applyBorder="1" applyAlignment="1" applyProtection="1">
      <alignment horizontal="center" vertical="center"/>
      <protection locked="0"/>
    </xf>
    <xf numFmtId="0" fontId="1" fillId="4" borderId="41" xfId="0" applyFont="1" applyFill="1" applyBorder="1" applyAlignment="1" applyProtection="1">
      <alignment/>
      <protection locked="0"/>
    </xf>
    <xf numFmtId="0" fontId="1" fillId="4" borderId="42" xfId="0" applyFont="1" applyFill="1" applyBorder="1" applyAlignment="1" applyProtection="1">
      <alignment/>
      <protection locked="0"/>
    </xf>
    <xf numFmtId="0" fontId="1" fillId="4" borderId="4" xfId="0" applyFont="1" applyFill="1" applyBorder="1" applyAlignment="1" applyProtection="1">
      <alignment/>
      <protection locked="0"/>
    </xf>
    <xf numFmtId="0" fontId="1" fillId="4" borderId="5" xfId="0" applyFont="1" applyFill="1" applyBorder="1" applyAlignment="1" applyProtection="1">
      <alignment/>
      <protection locked="0"/>
    </xf>
    <xf numFmtId="0" fontId="1" fillId="4" borderId="9" xfId="0" applyFont="1" applyFill="1" applyBorder="1" applyAlignment="1" applyProtection="1">
      <alignment horizontal="centerContinuous"/>
      <protection locked="0"/>
    </xf>
    <xf numFmtId="0" fontId="1" fillId="4" borderId="8" xfId="0" applyFont="1" applyFill="1" applyBorder="1" applyAlignment="1" applyProtection="1">
      <alignment horizontal="centerContinuous"/>
      <protection locked="0"/>
    </xf>
    <xf numFmtId="0" fontId="1" fillId="4" borderId="2" xfId="0" applyFont="1" applyFill="1" applyBorder="1" applyAlignment="1" applyProtection="1">
      <alignment horizontal="centerContinuous"/>
      <protection locked="0"/>
    </xf>
    <xf numFmtId="0" fontId="1" fillId="4" borderId="6" xfId="0" applyFont="1" applyFill="1" applyBorder="1" applyAlignment="1" applyProtection="1">
      <alignment horizontal="centerContinuous"/>
      <protection locked="0"/>
    </xf>
    <xf numFmtId="15" fontId="1" fillId="4" borderId="7" xfId="0" applyNumberFormat="1" applyFont="1" applyFill="1" applyBorder="1" applyAlignment="1" applyProtection="1">
      <alignment horizontal="centerContinuous"/>
      <protection locked="0"/>
    </xf>
    <xf numFmtId="0" fontId="1" fillId="4" borderId="5" xfId="0" applyFont="1" applyFill="1" applyBorder="1" applyAlignment="1" applyProtection="1">
      <alignment horizontal="centerContinuous"/>
      <protection locked="0"/>
    </xf>
    <xf numFmtId="14" fontId="1" fillId="4" borderId="7" xfId="0" applyNumberFormat="1" applyFont="1" applyFill="1" applyBorder="1" applyAlignment="1" applyProtection="1">
      <alignment horizontal="centerContinuous"/>
      <protection locked="0"/>
    </xf>
    <xf numFmtId="194" fontId="1" fillId="4" borderId="57" xfId="0" applyNumberFormat="1" applyFont="1" applyFill="1" applyBorder="1" applyAlignment="1" applyProtection="1">
      <alignment horizontal="center" vertical="center"/>
      <protection locked="0"/>
    </xf>
    <xf numFmtId="194" fontId="1" fillId="4" borderId="27" xfId="0" applyNumberFormat="1" applyFont="1" applyFill="1" applyBorder="1" applyAlignment="1" applyProtection="1">
      <alignment horizontal="center" vertical="center"/>
      <protection locked="0"/>
    </xf>
    <xf numFmtId="0" fontId="21" fillId="4" borderId="30" xfId="0" applyFont="1" applyFill="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191" fontId="21" fillId="4" borderId="22" xfId="0" applyNumberFormat="1" applyFont="1" applyFill="1" applyBorder="1" applyAlignment="1" applyProtection="1">
      <alignment horizontal="center" vertical="center"/>
      <protection locked="0"/>
    </xf>
    <xf numFmtId="191" fontId="21" fillId="4" borderId="17" xfId="0" applyNumberFormat="1" applyFont="1" applyFill="1" applyBorder="1" applyAlignment="1" applyProtection="1">
      <alignment horizontal="center" vertical="center"/>
      <protection locked="0"/>
    </xf>
    <xf numFmtId="0" fontId="0" fillId="0" borderId="11" xfId="0" applyBorder="1" applyAlignment="1" applyProtection="1">
      <alignment vertical="center"/>
      <protection locked="0"/>
    </xf>
    <xf numFmtId="0" fontId="1" fillId="3" borderId="11" xfId="0" applyFont="1" applyFill="1" applyBorder="1" applyAlignment="1" applyProtection="1">
      <alignment horizontal="center" vertical="center"/>
      <protection locked="0"/>
    </xf>
    <xf numFmtId="6" fontId="11" fillId="0" borderId="30" xfId="20" applyNumberFormat="1" applyFont="1" applyBorder="1" applyAlignment="1" applyProtection="1">
      <alignment horizontal="center"/>
      <protection locked="0"/>
    </xf>
    <xf numFmtId="3" fontId="11" fillId="0" borderId="11" xfId="0" applyNumberFormat="1" applyFont="1" applyBorder="1" applyAlignment="1" applyProtection="1">
      <alignment horizontal="center" vertical="center"/>
      <protection locked="0"/>
    </xf>
    <xf numFmtId="5" fontId="11" fillId="0" borderId="11" xfId="0" applyNumberFormat="1" applyFont="1" applyBorder="1" applyAlignment="1" applyProtection="1">
      <alignment horizontal="center" vertical="center"/>
      <protection locked="0"/>
    </xf>
    <xf numFmtId="5" fontId="20" fillId="0" borderId="14" xfId="0" applyNumberFormat="1" applyFont="1" applyBorder="1" applyAlignment="1" applyProtection="1">
      <alignment horizontal="center" vertical="center"/>
      <protection locked="0"/>
    </xf>
    <xf numFmtId="5" fontId="20" fillId="0" borderId="15" xfId="0" applyNumberFormat="1" applyFont="1" applyBorder="1" applyAlignment="1" applyProtection="1">
      <alignment horizontal="center" vertical="center"/>
      <protection locked="0"/>
    </xf>
    <xf numFmtId="5" fontId="20" fillId="0" borderId="0" xfId="0" applyNumberFormat="1" applyFont="1" applyBorder="1" applyAlignment="1" applyProtection="1">
      <alignment horizontal="center" vertical="center"/>
      <protection locked="0"/>
    </xf>
    <xf numFmtId="5" fontId="20" fillId="0" borderId="2" xfId="0" applyNumberFormat="1" applyFont="1" applyBorder="1" applyAlignment="1" applyProtection="1">
      <alignment horizontal="center" vertical="center"/>
      <protection locked="0"/>
    </xf>
    <xf numFmtId="7" fontId="1" fillId="4" borderId="30" xfId="17" applyNumberFormat="1" applyFont="1" applyFill="1" applyBorder="1" applyAlignment="1" applyProtection="1">
      <alignment horizontal="center" vertical="center"/>
      <protection locked="0"/>
    </xf>
    <xf numFmtId="8" fontId="1" fillId="4" borderId="30" xfId="0" applyNumberFormat="1" applyFont="1" applyFill="1" applyBorder="1" applyAlignment="1" applyProtection="1">
      <alignment horizontal="center" vertical="center"/>
      <protection locked="0"/>
    </xf>
    <xf numFmtId="0" fontId="0" fillId="4" borderId="41" xfId="0" applyFill="1" applyBorder="1" applyAlignment="1" applyProtection="1">
      <alignment/>
      <protection locked="0"/>
    </xf>
    <xf numFmtId="0" fontId="0" fillId="4" borderId="42" xfId="0" applyFill="1" applyBorder="1" applyAlignment="1" applyProtection="1">
      <alignment/>
      <protection locked="0"/>
    </xf>
    <xf numFmtId="0" fontId="1" fillId="4" borderId="43" xfId="0" applyFont="1" applyFill="1" applyBorder="1" applyAlignment="1" applyProtection="1">
      <alignment/>
      <protection locked="0"/>
    </xf>
    <xf numFmtId="0" fontId="0" fillId="4" borderId="4" xfId="0" applyFill="1" applyBorder="1" applyAlignment="1" applyProtection="1">
      <alignment/>
      <protection locked="0"/>
    </xf>
    <xf numFmtId="0" fontId="0" fillId="4" borderId="5" xfId="0" applyFill="1" applyBorder="1" applyAlignment="1" applyProtection="1">
      <alignment/>
      <protection locked="0"/>
    </xf>
    <xf numFmtId="0" fontId="1" fillId="4" borderId="47" xfId="0" applyFont="1" applyFill="1" applyBorder="1" applyAlignment="1" applyProtection="1">
      <alignment/>
      <protection locked="0"/>
    </xf>
    <xf numFmtId="0" fontId="0" fillId="4" borderId="41" xfId="0" applyFont="1" applyFill="1" applyBorder="1" applyAlignment="1" applyProtection="1">
      <alignment/>
      <protection locked="0"/>
    </xf>
    <xf numFmtId="0" fontId="0" fillId="4" borderId="3" xfId="0" applyFill="1" applyBorder="1" applyAlignment="1" applyProtection="1">
      <alignment/>
      <protection locked="0"/>
    </xf>
    <xf numFmtId="0" fontId="0" fillId="4" borderId="0" xfId="0" applyFill="1" applyBorder="1" applyAlignment="1" applyProtection="1">
      <alignment/>
      <protection locked="0"/>
    </xf>
    <xf numFmtId="180" fontId="1" fillId="0" borderId="1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180" fontId="1" fillId="0" borderId="46" xfId="0" applyNumberFormat="1"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protection locked="0"/>
    </xf>
    <xf numFmtId="191" fontId="1" fillId="0" borderId="22" xfId="0" applyNumberFormat="1" applyFont="1" applyBorder="1" applyAlignment="1" applyProtection="1">
      <alignment horizontal="center"/>
      <protection locked="0"/>
    </xf>
    <xf numFmtId="3" fontId="1" fillId="0" borderId="11" xfId="0" applyNumberFormat="1" applyFont="1" applyBorder="1" applyAlignment="1" applyProtection="1">
      <alignment horizontal="center"/>
      <protection locked="0"/>
    </xf>
    <xf numFmtId="0" fontId="0" fillId="0" borderId="11" xfId="0" applyBorder="1" applyAlignment="1" applyProtection="1">
      <alignment/>
      <protection locked="0"/>
    </xf>
    <xf numFmtId="0" fontId="0" fillId="0" borderId="0" xfId="0" applyAlignment="1" applyProtection="1">
      <alignment/>
      <protection locked="0"/>
    </xf>
    <xf numFmtId="170" fontId="0" fillId="0" borderId="6" xfId="0" applyNumberFormat="1" applyBorder="1" applyAlignment="1" applyProtection="1">
      <alignment horizontal="center"/>
      <protection locked="0"/>
    </xf>
    <xf numFmtId="169" fontId="0" fillId="0" borderId="5" xfId="0" applyNumberFormat="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0" fillId="0" borderId="6" xfId="0" applyBorder="1" applyAlignment="1" applyProtection="1">
      <alignment horizontal="center"/>
      <protection locked="0"/>
    </xf>
    <xf numFmtId="0" fontId="0" fillId="0" borderId="5" xfId="0" applyBorder="1" applyAlignment="1" applyProtection="1">
      <alignment horizontal="center"/>
      <protection locked="0"/>
    </xf>
    <xf numFmtId="0" fontId="1" fillId="0" borderId="21" xfId="0" applyFont="1" applyBorder="1" applyAlignment="1" applyProtection="1">
      <alignment horizontal="center"/>
      <protection locked="0"/>
    </xf>
    <xf numFmtId="7" fontId="1" fillId="0" borderId="22" xfId="0" applyNumberFormat="1" applyFont="1" applyFill="1" applyBorder="1" applyAlignment="1" applyProtection="1">
      <alignment horizontal="center" vertical="center"/>
      <protection locked="0"/>
    </xf>
    <xf numFmtId="0" fontId="1" fillId="0" borderId="11" xfId="0" applyFont="1" applyBorder="1" applyAlignment="1" applyProtection="1">
      <alignment horizontal="center"/>
      <protection locked="0"/>
    </xf>
    <xf numFmtId="7" fontId="1" fillId="0" borderId="21" xfId="17" applyNumberFormat="1" applyFont="1" applyFill="1" applyBorder="1" applyAlignment="1" applyProtection="1">
      <alignment horizontal="center"/>
      <protection locked="0"/>
    </xf>
    <xf numFmtId="0" fontId="1" fillId="0" borderId="22" xfId="0" applyFont="1" applyFill="1" applyBorder="1" applyAlignment="1" applyProtection="1">
      <alignment horizontal="center" vertical="center"/>
      <protection locked="0"/>
    </xf>
    <xf numFmtId="0" fontId="1" fillId="0" borderId="17" xfId="0" applyFont="1" applyBorder="1" applyAlignment="1" applyProtection="1">
      <alignment horizontal="center"/>
      <protection locked="0"/>
    </xf>
    <xf numFmtId="0" fontId="12" fillId="0" borderId="0" xfId="0" applyFont="1" applyAlignment="1" applyProtection="1">
      <alignment horizontal="right"/>
      <protection locked="0"/>
    </xf>
    <xf numFmtId="0" fontId="12" fillId="0" borderId="0" xfId="0" applyFont="1" applyBorder="1" applyAlignment="1" applyProtection="1">
      <alignment horizontal="right" vertical="center"/>
      <protection locked="0"/>
    </xf>
    <xf numFmtId="169" fontId="0" fillId="0" borderId="44" xfId="0" applyNumberFormat="1" applyBorder="1" applyAlignment="1" applyProtection="1">
      <alignment/>
      <protection locked="0"/>
    </xf>
    <xf numFmtId="0" fontId="19" fillId="0" borderId="9" xfId="0" applyFont="1" applyBorder="1" applyAlignment="1">
      <alignment horizontal="center" vertical="center"/>
    </xf>
    <xf numFmtId="180" fontId="1" fillId="0" borderId="16" xfId="0" applyNumberFormat="1" applyFont="1" applyBorder="1" applyAlignment="1">
      <alignment horizontal="center" vertical="center"/>
    </xf>
    <xf numFmtId="6" fontId="1" fillId="0" borderId="17" xfId="20" applyNumberFormat="1" applyFont="1" applyBorder="1" applyAlignment="1">
      <alignment horizontal="center"/>
      <protection/>
    </xf>
    <xf numFmtId="6" fontId="1" fillId="0" borderId="11" xfId="20" applyNumberFormat="1" applyFont="1" applyBorder="1" applyAlignment="1">
      <alignment horizontal="center"/>
      <protection/>
    </xf>
    <xf numFmtId="3" fontId="1" fillId="0" borderId="21" xfId="0" applyNumberFormat="1" applyFont="1" applyBorder="1" applyAlignment="1">
      <alignment horizontal="center"/>
    </xf>
    <xf numFmtId="9" fontId="1" fillId="0" borderId="17" xfId="21" applyNumberFormat="1" applyFont="1" applyBorder="1" applyAlignment="1">
      <alignment horizontal="center"/>
    </xf>
    <xf numFmtId="8" fontId="1" fillId="0" borderId="11" xfId="20" applyNumberFormat="1" applyFont="1" applyBorder="1" applyAlignment="1">
      <alignment horizontal="center"/>
      <protection/>
    </xf>
    <xf numFmtId="8" fontId="1" fillId="0" borderId="17" xfId="20" applyNumberFormat="1" applyFont="1" applyBorder="1" applyAlignment="1">
      <alignment horizontal="center"/>
      <protection/>
    </xf>
    <xf numFmtId="0" fontId="1" fillId="0" borderId="10" xfId="0" applyFont="1" applyBorder="1" applyAlignment="1">
      <alignment horizontal="right"/>
    </xf>
    <xf numFmtId="0" fontId="0" fillId="0" borderId="12" xfId="0" applyBorder="1" applyAlignment="1">
      <alignment horizontal="center"/>
    </xf>
    <xf numFmtId="189" fontId="1" fillId="0" borderId="17" xfId="20" applyNumberFormat="1" applyFont="1" applyBorder="1" applyAlignment="1">
      <alignment horizontal="center"/>
      <protection/>
    </xf>
    <xf numFmtId="189" fontId="1" fillId="0" borderId="11" xfId="0" applyNumberFormat="1" applyFont="1" applyBorder="1" applyAlignment="1">
      <alignment horizontal="center"/>
    </xf>
    <xf numFmtId="0" fontId="0" fillId="0" borderId="14" xfId="0" applyBorder="1" applyAlignment="1">
      <alignment/>
    </xf>
    <xf numFmtId="0" fontId="1" fillId="0" borderId="12" xfId="0" applyFont="1" applyBorder="1" applyAlignment="1">
      <alignment horizontal="right" vertical="center"/>
    </xf>
    <xf numFmtId="0" fontId="1" fillId="0" borderId="5" xfId="0" applyFont="1" applyBorder="1" applyAlignment="1">
      <alignment horizontal="right"/>
    </xf>
    <xf numFmtId="0" fontId="1" fillId="0" borderId="8" xfId="0" applyFont="1" applyBorder="1" applyAlignment="1">
      <alignment horizontal="right"/>
    </xf>
    <xf numFmtId="171" fontId="1" fillId="0" borderId="21" xfId="0" applyNumberFormat="1" applyFont="1" applyBorder="1" applyAlignment="1">
      <alignment horizontal="center"/>
    </xf>
    <xf numFmtId="0" fontId="1" fillId="0" borderId="6" xfId="0" applyFont="1" applyBorder="1" applyAlignment="1">
      <alignment horizontal="right"/>
    </xf>
    <xf numFmtId="0" fontId="0" fillId="0" borderId="4" xfId="0" applyAlignment="1">
      <alignment/>
    </xf>
    <xf numFmtId="0" fontId="0" fillId="0" borderId="12"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6" fontId="11" fillId="0" borderId="12" xfId="20" applyNumberFormat="1" applyFont="1" applyBorder="1" applyAlignment="1" applyProtection="1">
      <alignment horizontal="centerContinuous"/>
      <protection locked="0"/>
    </xf>
    <xf numFmtId="6" fontId="11" fillId="0" borderId="8" xfId="20" applyNumberFormat="1" applyFont="1" applyBorder="1" applyAlignment="1" applyProtection="1">
      <alignment horizontal="centerContinuous"/>
      <protection locked="0"/>
    </xf>
    <xf numFmtId="6" fontId="11" fillId="0" borderId="5" xfId="20" applyNumberFormat="1" applyFont="1" applyBorder="1" applyAlignment="1" applyProtection="1">
      <alignment horizontal="centerContinuous"/>
      <protection locked="0"/>
    </xf>
    <xf numFmtId="6" fontId="11" fillId="0" borderId="6" xfId="20" applyNumberFormat="1" applyFont="1" applyBorder="1" applyAlignment="1" applyProtection="1">
      <alignment horizontal="centerContinuous"/>
      <protection locked="0"/>
    </xf>
    <xf numFmtId="3" fontId="11" fillId="0" borderId="8" xfId="0" applyNumberFormat="1" applyFont="1" applyBorder="1" applyAlignment="1" applyProtection="1">
      <alignment horizontal="centerContinuous"/>
      <protection locked="0"/>
    </xf>
    <xf numFmtId="189" fontId="11" fillId="0" borderId="6" xfId="0" applyNumberFormat="1" applyFont="1" applyBorder="1" applyAlignment="1" applyProtection="1">
      <alignment horizontal="centerContinuous"/>
      <protection locked="0"/>
    </xf>
    <xf numFmtId="3" fontId="11" fillId="0" borderId="6" xfId="0" applyNumberFormat="1" applyFont="1" applyBorder="1" applyAlignment="1" applyProtection="1">
      <alignment horizontal="centerContinuous"/>
      <protection locked="0"/>
    </xf>
    <xf numFmtId="3" fontId="11" fillId="0" borderId="5" xfId="0" applyNumberFormat="1" applyFont="1" applyBorder="1" applyAlignment="1" applyProtection="1">
      <alignment horizontal="centerContinuous"/>
      <protection locked="0"/>
    </xf>
    <xf numFmtId="9" fontId="11" fillId="0" borderId="6" xfId="21" applyNumberFormat="1" applyFont="1" applyBorder="1" applyAlignment="1" applyProtection="1">
      <alignment horizontal="centerContinuous"/>
      <protection locked="0"/>
    </xf>
    <xf numFmtId="39" fontId="11" fillId="0" borderId="6" xfId="20" applyNumberFormat="1" applyFont="1" applyBorder="1" applyAlignment="1" applyProtection="1">
      <alignment horizontal="centerContinuous"/>
      <protection locked="0"/>
    </xf>
    <xf numFmtId="38" fontId="11" fillId="0" borderId="5" xfId="20" applyNumberFormat="1" applyFont="1" applyBorder="1" applyAlignment="1" applyProtection="1">
      <alignment horizontal="centerContinuous"/>
      <protection locked="0"/>
    </xf>
    <xf numFmtId="8" fontId="11" fillId="0" borderId="8" xfId="20" applyNumberFormat="1" applyFont="1" applyBorder="1" applyAlignment="1" applyProtection="1">
      <alignment horizontal="centerContinuous"/>
      <protection locked="0"/>
    </xf>
    <xf numFmtId="8" fontId="11" fillId="0" borderId="5" xfId="20" applyNumberFormat="1" applyFont="1" applyBorder="1" applyAlignment="1" applyProtection="1">
      <alignment horizontal="centerContinuous"/>
      <protection locked="0"/>
    </xf>
    <xf numFmtId="0" fontId="1" fillId="0" borderId="14" xfId="0" applyFont="1" applyFill="1" applyBorder="1" applyAlignment="1">
      <alignment horizontal="center"/>
    </xf>
    <xf numFmtId="0" fontId="0" fillId="0" borderId="14" xfId="0" applyFill="1" applyBorder="1" applyAlignment="1">
      <alignment/>
    </xf>
    <xf numFmtId="0" fontId="1" fillId="0" borderId="10" xfId="0" applyFont="1" applyFill="1" applyBorder="1" applyAlignment="1">
      <alignment horizontal="right" vertical="center"/>
    </xf>
    <xf numFmtId="1" fontId="11" fillId="0" borderId="11" xfId="0" applyNumberFormat="1" applyFont="1" applyBorder="1" applyAlignment="1" applyProtection="1">
      <alignment horizontal="center" vertical="center"/>
      <protection locked="0"/>
    </xf>
    <xf numFmtId="171" fontId="11" fillId="0" borderId="11" xfId="0" applyNumberFormat="1" applyFont="1" applyBorder="1" applyAlignment="1" applyProtection="1">
      <alignment horizontal="center" vertical="center"/>
      <protection locked="0"/>
    </xf>
    <xf numFmtId="180" fontId="11" fillId="0" borderId="11" xfId="0" applyNumberFormat="1" applyFont="1" applyBorder="1" applyAlignment="1" applyProtection="1">
      <alignment horizontal="center" vertical="center"/>
      <protection locked="0"/>
    </xf>
    <xf numFmtId="189" fontId="11" fillId="0" borderId="11" xfId="0" applyNumberFormat="1" applyFont="1" applyBorder="1" applyAlignment="1" applyProtection="1">
      <alignment horizontal="center" vertical="center"/>
      <protection locked="0"/>
    </xf>
    <xf numFmtId="38" fontId="11" fillId="0" borderId="8" xfId="20" applyNumberFormat="1" applyFont="1" applyBorder="1" applyAlignment="1" applyProtection="1">
      <alignment horizontal="centerContinuous"/>
      <protection locked="0"/>
    </xf>
    <xf numFmtId="38" fontId="11" fillId="0" borderId="8" xfId="0" applyNumberFormat="1" applyFont="1" applyBorder="1" applyAlignment="1" applyProtection="1">
      <alignment horizontal="centerContinuous"/>
      <protection locked="0"/>
    </xf>
    <xf numFmtId="38" fontId="11" fillId="0" borderId="6" xfId="0" applyNumberFormat="1" applyFont="1" applyBorder="1" applyAlignment="1" applyProtection="1">
      <alignment horizontal="centerContinuous"/>
      <protection locked="0"/>
    </xf>
    <xf numFmtId="38" fontId="11" fillId="0" borderId="6" xfId="21" applyNumberFormat="1" applyFont="1" applyBorder="1" applyAlignment="1" applyProtection="1">
      <alignment horizontal="centerContinuous"/>
      <protection locked="0"/>
    </xf>
    <xf numFmtId="199" fontId="11" fillId="0" borderId="5" xfId="20" applyNumberFormat="1" applyFont="1" applyBorder="1" applyAlignment="1" applyProtection="1">
      <alignment horizontal="centerContinuous"/>
      <protection locked="0"/>
    </xf>
    <xf numFmtId="199" fontId="11" fillId="0" borderId="8" xfId="20" applyNumberFormat="1" applyFont="1" applyBorder="1" applyAlignment="1" applyProtection="1">
      <alignment horizontal="centerContinuous"/>
      <protection locked="0"/>
    </xf>
    <xf numFmtId="199" fontId="11" fillId="0" borderId="6" xfId="20" applyNumberFormat="1" applyFont="1" applyBorder="1" applyAlignment="1" applyProtection="1">
      <alignment horizontal="centerContinuous"/>
      <protection locked="0"/>
    </xf>
    <xf numFmtId="199" fontId="11" fillId="0" borderId="8" xfId="0" applyNumberFormat="1" applyFont="1" applyBorder="1" applyAlignment="1" applyProtection="1">
      <alignment horizontal="centerContinuous"/>
      <protection locked="0"/>
    </xf>
    <xf numFmtId="180" fontId="11" fillId="0" borderId="5" xfId="21" applyNumberFormat="1" applyFont="1" applyBorder="1" applyAlignment="1" applyProtection="1">
      <alignment horizontal="centerContinuous"/>
      <protection locked="0"/>
    </xf>
    <xf numFmtId="0" fontId="5" fillId="0" borderId="14" xfId="0" applyFont="1" applyBorder="1" applyAlignment="1">
      <alignment horizontal="centerContinuous"/>
    </xf>
    <xf numFmtId="8" fontId="21" fillId="0" borderId="30" xfId="0" applyNumberFormat="1" applyFont="1" applyFill="1" applyBorder="1" applyAlignment="1">
      <alignment horizontal="center" vertical="center"/>
    </xf>
    <xf numFmtId="0" fontId="5" fillId="0" borderId="0" xfId="0" applyFont="1" applyAlignment="1">
      <alignment horizontal="left"/>
    </xf>
    <xf numFmtId="0" fontId="0" fillId="0" borderId="0" xfId="0" applyAlignment="1">
      <alignment horizontal="center" wrapText="1"/>
    </xf>
    <xf numFmtId="0" fontId="0" fillId="0" borderId="0" xfId="0" applyAlignment="1">
      <alignment horizontal="left"/>
    </xf>
    <xf numFmtId="0" fontId="23" fillId="0" borderId="0" xfId="0" applyFont="1" applyAlignment="1">
      <alignment horizontal="left"/>
    </xf>
    <xf numFmtId="0" fontId="1" fillId="4" borderId="14" xfId="0" applyFont="1" applyFill="1" applyBorder="1" applyAlignment="1">
      <alignment horizontal="left" vertical="center"/>
    </xf>
    <xf numFmtId="7" fontId="21" fillId="4" borderId="38" xfId="17" applyNumberFormat="1" applyFont="1" applyFill="1" applyBorder="1" applyAlignment="1" applyProtection="1">
      <alignment horizontal="center" vertical="center"/>
      <protection locked="0"/>
    </xf>
    <xf numFmtId="8" fontId="21" fillId="4" borderId="33" xfId="0" applyNumberFormat="1" applyFont="1" applyFill="1" applyBorder="1" applyAlignment="1" applyProtection="1">
      <alignment horizontal="center" vertical="center"/>
      <protection locked="0"/>
    </xf>
    <xf numFmtId="8" fontId="21" fillId="4" borderId="39" xfId="0" applyNumberFormat="1" applyFont="1" applyFill="1" applyBorder="1" applyAlignment="1" applyProtection="1">
      <alignment horizontal="center" vertical="center"/>
      <protection locked="0"/>
    </xf>
    <xf numFmtId="0" fontId="1" fillId="4" borderId="14" xfId="0" applyFont="1" applyFill="1" applyBorder="1" applyAlignment="1">
      <alignment horizontal="left"/>
    </xf>
    <xf numFmtId="0" fontId="1" fillId="4" borderId="10" xfId="0" applyFont="1" applyFill="1" applyBorder="1" applyAlignment="1">
      <alignment horizontal="centerContinuous"/>
    </xf>
    <xf numFmtId="0" fontId="1" fillId="0" borderId="32"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171" fontId="1" fillId="4" borderId="29" xfId="0" applyNumberFormat="1" applyFont="1" applyFill="1" applyBorder="1" applyAlignment="1" applyProtection="1">
      <alignment horizontal="center" vertical="center"/>
      <protection locked="0"/>
    </xf>
    <xf numFmtId="1" fontId="1" fillId="4" borderId="38" xfId="0" applyNumberFormat="1" applyFont="1" applyFill="1" applyBorder="1" applyAlignment="1" applyProtection="1">
      <alignment horizontal="center" vertical="center"/>
      <protection locked="0"/>
    </xf>
    <xf numFmtId="171" fontId="1" fillId="4" borderId="58" xfId="0" applyNumberFormat="1" applyFont="1" applyFill="1" applyBorder="1" applyAlignment="1" applyProtection="1">
      <alignment horizontal="center" vertical="center"/>
      <protection locked="0"/>
    </xf>
    <xf numFmtId="0" fontId="1" fillId="4" borderId="19" xfId="0" applyFont="1" applyFill="1" applyBorder="1" applyAlignment="1" applyProtection="1">
      <alignment horizontal="center" vertical="center"/>
      <protection locked="0"/>
    </xf>
    <xf numFmtId="0" fontId="1" fillId="4" borderId="39" xfId="0" applyFont="1" applyFill="1" applyBorder="1" applyAlignment="1" applyProtection="1">
      <alignment horizontal="center" vertical="center"/>
      <protection locked="0"/>
    </xf>
    <xf numFmtId="0" fontId="1" fillId="4" borderId="38"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1" fillId="4" borderId="32" xfId="0" applyFont="1" applyFill="1" applyBorder="1" applyAlignment="1" applyProtection="1">
      <alignment horizontal="center" vertical="center"/>
      <protection locked="0"/>
    </xf>
    <xf numFmtId="2" fontId="1" fillId="0" borderId="26" xfId="0" applyNumberFormat="1" applyFont="1" applyBorder="1" applyAlignment="1">
      <alignment horizontal="center"/>
    </xf>
    <xf numFmtId="2" fontId="1" fillId="0" borderId="29" xfId="0" applyNumberFormat="1" applyFont="1" applyBorder="1" applyAlignment="1">
      <alignment horizontal="center"/>
    </xf>
    <xf numFmtId="0" fontId="1" fillId="0" borderId="7" xfId="0" applyFont="1" applyBorder="1" applyAlignment="1">
      <alignment horizontal="center"/>
    </xf>
    <xf numFmtId="0" fontId="1" fillId="0" borderId="4" xfId="0" applyFont="1" applyBorder="1" applyAlignment="1">
      <alignment horizontal="center"/>
    </xf>
    <xf numFmtId="2" fontId="1" fillId="0" borderId="32" xfId="0" applyNumberFormat="1" applyFont="1" applyBorder="1" applyAlignment="1">
      <alignment horizontal="center"/>
    </xf>
    <xf numFmtId="184" fontId="1" fillId="0" borderId="29" xfId="0" applyNumberFormat="1" applyFont="1" applyBorder="1" applyAlignment="1">
      <alignment horizontal="center"/>
    </xf>
    <xf numFmtId="184" fontId="1" fillId="0" borderId="38" xfId="0" applyNumberFormat="1" applyFont="1" applyBorder="1" applyAlignment="1">
      <alignment horizontal="center"/>
    </xf>
    <xf numFmtId="0" fontId="0" fillId="0" borderId="7" xfId="0" applyBorder="1" applyAlignment="1">
      <alignment horizontal="center"/>
    </xf>
    <xf numFmtId="184" fontId="1" fillId="0" borderId="32" xfId="0" applyNumberFormat="1" applyFont="1" applyBorder="1" applyAlignment="1">
      <alignment horizontal="center"/>
    </xf>
    <xf numFmtId="184" fontId="1" fillId="0" borderId="39" xfId="0" applyNumberFormat="1" applyFont="1" applyBorder="1" applyAlignment="1">
      <alignment horizontal="center"/>
    </xf>
    <xf numFmtId="0" fontId="1" fillId="0" borderId="2" xfId="0" applyFont="1" applyBorder="1" applyAlignment="1">
      <alignment horizontal="left"/>
    </xf>
    <xf numFmtId="0" fontId="0" fillId="0" borderId="9" xfId="0" applyBorder="1" applyAlignment="1">
      <alignment horizontal="center"/>
    </xf>
    <xf numFmtId="0" fontId="0" fillId="0" borderId="8" xfId="0" applyBorder="1" applyAlignment="1">
      <alignment horizontal="center"/>
    </xf>
    <xf numFmtId="171" fontId="1" fillId="0" borderId="32" xfId="0" applyNumberFormat="1" applyFont="1" applyBorder="1" applyAlignment="1">
      <alignment horizontal="center"/>
    </xf>
    <xf numFmtId="0" fontId="0" fillId="0" borderId="4" xfId="0" applyBorder="1" applyAlignment="1">
      <alignment horizontal="center"/>
    </xf>
    <xf numFmtId="0" fontId="1" fillId="0" borderId="14" xfId="0" applyFont="1" applyFill="1" applyBorder="1" applyAlignment="1">
      <alignment horizontal="left" vertical="center"/>
    </xf>
    <xf numFmtId="0" fontId="0" fillId="0" borderId="10" xfId="0" applyBorder="1" applyAlignment="1">
      <alignment horizontal="center"/>
    </xf>
    <xf numFmtId="0" fontId="1" fillId="0" borderId="14" xfId="0" applyFont="1" applyBorder="1" applyAlignment="1">
      <alignment horizontal="left"/>
    </xf>
    <xf numFmtId="2" fontId="1" fillId="0" borderId="27" xfId="0" applyNumberFormat="1" applyFont="1" applyBorder="1" applyAlignment="1">
      <alignment horizontal="center"/>
    </xf>
    <xf numFmtId="2" fontId="1" fillId="0" borderId="30" xfId="0" applyNumberFormat="1" applyFont="1" applyBorder="1" applyAlignment="1">
      <alignment horizontal="center"/>
    </xf>
    <xf numFmtId="2" fontId="1" fillId="0" borderId="33" xfId="0" applyNumberFormat="1" applyFont="1" applyBorder="1" applyAlignment="1">
      <alignment horizontal="center"/>
    </xf>
    <xf numFmtId="0" fontId="1" fillId="2" borderId="38" xfId="0" applyFont="1" applyFill="1" applyBorder="1" applyAlignment="1" applyProtection="1">
      <alignment horizontal="center" vertical="center"/>
      <protection locked="0"/>
    </xf>
    <xf numFmtId="171" fontId="1" fillId="4" borderId="38" xfId="0" applyNumberFormat="1" applyFont="1" applyFill="1" applyBorder="1" applyAlignment="1" applyProtection="1">
      <alignment horizontal="center" vertical="center"/>
      <protection locked="0"/>
    </xf>
    <xf numFmtId="3" fontId="1" fillId="4" borderId="38" xfId="0" applyNumberFormat="1" applyFont="1" applyFill="1" applyBorder="1" applyAlignment="1" applyProtection="1">
      <alignment horizontal="center" vertical="center"/>
      <protection locked="0"/>
    </xf>
    <xf numFmtId="19" fontId="0" fillId="0" borderId="0" xfId="0" applyNumberFormat="1" applyAlignment="1">
      <alignment/>
    </xf>
    <xf numFmtId="0" fontId="0" fillId="0" borderId="0" xfId="0" applyFont="1" applyBorder="1" applyAlignment="1" applyProtection="1">
      <alignment horizontal="left"/>
      <protection locked="0"/>
    </xf>
    <xf numFmtId="1" fontId="0" fillId="0" borderId="0" xfId="0" applyNumberFormat="1" applyAlignment="1">
      <alignment horizontal="center"/>
    </xf>
    <xf numFmtId="1" fontId="0" fillId="0" borderId="1" xfId="0" applyNumberFormat="1" applyBorder="1" applyAlignment="1">
      <alignment horizontal="center"/>
    </xf>
    <xf numFmtId="0" fontId="0" fillId="0" borderId="1" xfId="0" applyFont="1" applyBorder="1" applyAlignment="1" applyProtection="1">
      <alignment horizontal="left"/>
      <protection locked="0"/>
    </xf>
    <xf numFmtId="19" fontId="0" fillId="0" borderId="1" xfId="0" applyNumberFormat="1" applyBorder="1" applyAlignment="1">
      <alignment/>
    </xf>
    <xf numFmtId="1" fontId="1" fillId="0" borderId="0" xfId="0" applyNumberFormat="1" applyFont="1" applyAlignment="1">
      <alignment horizontal="center"/>
    </xf>
    <xf numFmtId="0" fontId="1" fillId="0" borderId="0" xfId="0" applyFont="1" applyBorder="1" applyAlignment="1" applyProtection="1">
      <alignment horizontal="left"/>
      <protection locked="0"/>
    </xf>
    <xf numFmtId="19" fontId="1" fillId="0" borderId="0" xfId="0" applyNumberFormat="1" applyFont="1" applyAlignment="1">
      <alignment/>
    </xf>
    <xf numFmtId="0" fontId="26" fillId="7" borderId="0" xfId="0" applyFont="1" applyFill="1" applyAlignment="1">
      <alignment wrapText="1"/>
    </xf>
    <xf numFmtId="0" fontId="25" fillId="7" borderId="0" xfId="0" applyFont="1" applyFill="1" applyAlignment="1">
      <alignment wrapText="1"/>
    </xf>
    <xf numFmtId="0" fontId="27" fillId="7" borderId="0" xfId="0" applyFont="1" applyFill="1" applyAlignment="1">
      <alignment/>
    </xf>
    <xf numFmtId="0" fontId="1" fillId="0" borderId="14" xfId="0" applyFont="1" applyBorder="1" applyAlignment="1">
      <alignment/>
    </xf>
    <xf numFmtId="0" fontId="1" fillId="0" borderId="46" xfId="0" applyFont="1" applyBorder="1" applyAlignment="1">
      <alignment horizontal="center"/>
    </xf>
    <xf numFmtId="0" fontId="1" fillId="0" borderId="15" xfId="0" applyFont="1" applyBorder="1" applyAlignment="1">
      <alignment horizontal="center"/>
    </xf>
    <xf numFmtId="184" fontId="1" fillId="0" borderId="24" xfId="0" applyNumberFormat="1" applyFont="1" applyBorder="1" applyAlignment="1">
      <alignment horizontal="center"/>
    </xf>
    <xf numFmtId="184" fontId="1" fillId="0" borderId="18" xfId="0" applyNumberFormat="1" applyFont="1" applyBorder="1" applyAlignment="1">
      <alignment horizontal="center"/>
    </xf>
    <xf numFmtId="4" fontId="1" fillId="0" borderId="39" xfId="0" applyNumberFormat="1" applyFont="1" applyBorder="1" applyAlignment="1">
      <alignment horizontal="center"/>
    </xf>
    <xf numFmtId="4" fontId="1" fillId="0" borderId="0" xfId="0" applyNumberFormat="1" applyFont="1" applyBorder="1" applyAlignment="1">
      <alignment horizontal="center"/>
    </xf>
    <xf numFmtId="8" fontId="1" fillId="4" borderId="59" xfId="0" applyNumberFormat="1" applyFont="1" applyFill="1" applyBorder="1" applyAlignment="1" applyProtection="1">
      <alignment horizontal="center" vertical="center"/>
      <protection locked="0"/>
    </xf>
    <xf numFmtId="8" fontId="1" fillId="4" borderId="15" xfId="0" applyNumberFormat="1" applyFont="1" applyFill="1" applyBorder="1" applyAlignment="1" applyProtection="1">
      <alignment horizontal="center" vertical="center"/>
      <protection locked="0"/>
    </xf>
    <xf numFmtId="180" fontId="1" fillId="4" borderId="38" xfId="21" applyNumberFormat="1" applyFont="1" applyFill="1" applyBorder="1" applyAlignment="1" applyProtection="1">
      <alignment horizontal="center" vertical="center"/>
      <protection locked="0"/>
    </xf>
    <xf numFmtId="0" fontId="0" fillId="0" borderId="3" xfId="0" applyBorder="1" applyAlignment="1">
      <alignment horizontal="center"/>
    </xf>
    <xf numFmtId="0" fontId="0" fillId="0" borderId="0" xfId="0" applyAlignment="1">
      <alignment wrapText="1"/>
    </xf>
    <xf numFmtId="0" fontId="1" fillId="0" borderId="28" xfId="0" applyFont="1" applyBorder="1" applyAlignment="1">
      <alignment horizontal="right" vertical="center"/>
    </xf>
    <xf numFmtId="0" fontId="1" fillId="0" borderId="11" xfId="0" applyFont="1" applyBorder="1" applyAlignment="1">
      <alignment horizontal="right" vertical="center"/>
    </xf>
    <xf numFmtId="0" fontId="1" fillId="0" borderId="17" xfId="0" applyFont="1" applyBorder="1" applyAlignment="1">
      <alignment horizontal="right" vertical="center"/>
    </xf>
    <xf numFmtId="0" fontId="1" fillId="0" borderId="16" xfId="0" applyFont="1" applyBorder="1" applyAlignment="1">
      <alignment horizontal="right" vertical="center"/>
    </xf>
    <xf numFmtId="0" fontId="1" fillId="0" borderId="22" xfId="0" applyFont="1" applyFill="1" applyBorder="1" applyAlignment="1">
      <alignment horizontal="right" vertical="center"/>
    </xf>
    <xf numFmtId="0" fontId="1" fillId="0" borderId="17" xfId="0" applyFont="1" applyFill="1" applyBorder="1" applyAlignment="1">
      <alignment horizontal="right" vertical="center"/>
    </xf>
    <xf numFmtId="0" fontId="1" fillId="0" borderId="17" xfId="0" applyFont="1" applyBorder="1" applyAlignment="1">
      <alignment horizontal="right"/>
    </xf>
    <xf numFmtId="0" fontId="1" fillId="0" borderId="21" xfId="0" applyFont="1" applyBorder="1" applyAlignment="1">
      <alignment horizontal="right"/>
    </xf>
    <xf numFmtId="0" fontId="0" fillId="0" borderId="2" xfId="0" applyBorder="1" applyAlignment="1">
      <alignment horizontal="left" vertical="center" wrapText="1"/>
    </xf>
    <xf numFmtId="0" fontId="5" fillId="4" borderId="20" xfId="0" applyFont="1" applyFill="1" applyBorder="1" applyAlignment="1">
      <alignment horizontal="left" vertical="center" wrapText="1"/>
    </xf>
    <xf numFmtId="0" fontId="24" fillId="4" borderId="38" xfId="0" applyFont="1" applyFill="1" applyBorder="1" applyAlignment="1">
      <alignment horizontal="left" vertical="center" wrapText="1"/>
    </xf>
    <xf numFmtId="0" fontId="1" fillId="4" borderId="0" xfId="0" applyFont="1" applyFill="1" applyBorder="1" applyAlignment="1">
      <alignment horizontal="centerContinuous" vertical="center"/>
    </xf>
    <xf numFmtId="0" fontId="5" fillId="4" borderId="9" xfId="0" applyFont="1" applyFill="1" applyBorder="1" applyAlignment="1">
      <alignment horizontal="left" vertical="top"/>
    </xf>
    <xf numFmtId="0" fontId="1" fillId="4" borderId="3" xfId="0" applyFont="1" applyFill="1" applyBorder="1" applyAlignment="1">
      <alignment horizontal="centerContinuous" vertical="center"/>
    </xf>
    <xf numFmtId="0" fontId="1" fillId="4" borderId="8" xfId="0" applyFont="1" applyFill="1" applyBorder="1" applyAlignment="1">
      <alignment horizontal="right" vertical="center"/>
    </xf>
    <xf numFmtId="0" fontId="5" fillId="4" borderId="2" xfId="0" applyFont="1" applyFill="1" applyBorder="1" applyAlignment="1">
      <alignment horizontal="left" vertical="top"/>
    </xf>
    <xf numFmtId="0" fontId="1" fillId="4" borderId="6" xfId="0" applyFont="1" applyFill="1" applyBorder="1" applyAlignment="1">
      <alignment horizontal="right" vertical="center"/>
    </xf>
    <xf numFmtId="0" fontId="5" fillId="4" borderId="7" xfId="0" applyFont="1" applyFill="1" applyBorder="1" applyAlignment="1">
      <alignment horizontal="left" vertical="top"/>
    </xf>
    <xf numFmtId="0" fontId="1" fillId="4" borderId="4" xfId="0" applyFont="1" applyFill="1" applyBorder="1" applyAlignment="1">
      <alignment horizontal="centerContinuous" vertical="center"/>
    </xf>
    <xf numFmtId="0" fontId="1" fillId="4" borderId="5" xfId="0" applyFont="1" applyFill="1" applyBorder="1" applyAlignment="1">
      <alignment horizontal="right" vertical="center"/>
    </xf>
    <xf numFmtId="0" fontId="24" fillId="4" borderId="39"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 fillId="4" borderId="14" xfId="0" applyFont="1" applyFill="1" applyBorder="1" applyAlignment="1" applyProtection="1">
      <alignment horizontal="centerContinuous" vertical="center" wrapText="1"/>
      <protection locked="0"/>
    </xf>
    <xf numFmtId="0" fontId="0" fillId="4" borderId="12" xfId="0" applyFill="1" applyBorder="1" applyAlignment="1">
      <alignment horizontal="centerContinuous" wrapText="1"/>
    </xf>
    <xf numFmtId="0" fontId="5" fillId="4" borderId="16" xfId="0" applyFont="1" applyFill="1" applyBorder="1" applyAlignment="1">
      <alignment horizontal="right" vertical="center"/>
    </xf>
    <xf numFmtId="0" fontId="5" fillId="4" borderId="10" xfId="0" applyFont="1" applyFill="1" applyBorder="1" applyAlignment="1">
      <alignment horizontal="centerContinuous" vertical="center" wrapText="1"/>
    </xf>
    <xf numFmtId="0" fontId="5" fillId="4" borderId="12" xfId="0" applyFont="1" applyFill="1" applyBorder="1" applyAlignment="1">
      <alignment horizontal="centerContinuous" vertical="center" wrapText="1"/>
    </xf>
    <xf numFmtId="0" fontId="0" fillId="0" borderId="0" xfId="0" applyAlignment="1">
      <alignment vertical="center"/>
    </xf>
    <xf numFmtId="0" fontId="0" fillId="0" borderId="0" xfId="0" applyAlignment="1">
      <alignment horizontal="center" vertical="center"/>
    </xf>
    <xf numFmtId="7" fontId="21" fillId="4" borderId="30" xfId="17" applyNumberFormat="1" applyFont="1" applyFill="1" applyBorder="1" applyAlignment="1" applyProtection="1">
      <alignment horizontal="center" vertical="center"/>
      <protection locked="0"/>
    </xf>
    <xf numFmtId="7" fontId="21" fillId="4" borderId="38" xfId="17" applyNumberFormat="1" applyFont="1" applyFill="1" applyBorder="1" applyAlignment="1" applyProtection="1">
      <alignment horizontal="center" vertical="center"/>
      <protection locked="0"/>
    </xf>
    <xf numFmtId="8" fontId="21" fillId="4" borderId="33" xfId="0" applyNumberFormat="1" applyFont="1" applyFill="1" applyBorder="1" applyAlignment="1" applyProtection="1">
      <alignment horizontal="center" vertical="center"/>
      <protection locked="0"/>
    </xf>
    <xf numFmtId="8" fontId="21" fillId="4" borderId="39" xfId="0" applyNumberFormat="1" applyFont="1" applyFill="1" applyBorder="1" applyAlignment="1" applyProtection="1">
      <alignment horizontal="center" vertical="center"/>
      <protection locked="0"/>
    </xf>
    <xf numFmtId="0" fontId="1" fillId="0" borderId="11" xfId="0" applyFont="1" applyBorder="1" applyAlignment="1">
      <alignment horizontal="right" vertical="center" wrapText="1"/>
    </xf>
    <xf numFmtId="0" fontId="0" fillId="0" borderId="11" xfId="0" applyBorder="1" applyAlignment="1">
      <alignment horizontal="left" vertical="center" wrapText="1"/>
    </xf>
    <xf numFmtId="0" fontId="0" fillId="0" borderId="28" xfId="0" applyBorder="1" applyAlignment="1">
      <alignment horizontal="left" vertical="center" wrapText="1"/>
    </xf>
    <xf numFmtId="0" fontId="1" fillId="0" borderId="11" xfId="0" applyFont="1" applyBorder="1" applyAlignment="1">
      <alignment horizontal="left" vertical="center" wrapText="1"/>
    </xf>
    <xf numFmtId="0" fontId="0" fillId="0" borderId="60" xfId="0" applyBorder="1" applyAlignment="1">
      <alignment horizontal="left" vertical="center" wrapText="1"/>
    </xf>
    <xf numFmtId="0" fontId="0" fillId="0" borderId="22" xfId="0" applyBorder="1" applyAlignment="1">
      <alignment horizontal="left" vertical="center" wrapText="1"/>
    </xf>
    <xf numFmtId="0" fontId="0" fillId="0" borderId="61" xfId="0" applyBorder="1" applyAlignment="1">
      <alignment horizontal="left" vertical="center" wrapText="1"/>
    </xf>
    <xf numFmtId="0" fontId="1" fillId="0" borderId="8" xfId="0" applyFont="1" applyBorder="1" applyAlignment="1">
      <alignment horizontal="centerContinuous" vertical="center"/>
    </xf>
    <xf numFmtId="0" fontId="1" fillId="0" borderId="4" xfId="0" applyFont="1" applyBorder="1" applyAlignment="1">
      <alignment horizontal="centerContinuous"/>
    </xf>
    <xf numFmtId="0" fontId="0" fillId="0" borderId="4" xfId="0" applyBorder="1" applyAlignment="1">
      <alignment horizontal="centerContinuous"/>
    </xf>
    <xf numFmtId="0" fontId="1" fillId="0" borderId="5" xfId="0" applyFont="1" applyBorder="1" applyAlignment="1">
      <alignment horizontal="centerContinuous" vertical="center"/>
    </xf>
    <xf numFmtId="0" fontId="1" fillId="0" borderId="9" xfId="0" applyFont="1" applyBorder="1" applyAlignment="1">
      <alignment horizontal="centerContinuous"/>
    </xf>
    <xf numFmtId="0" fontId="1" fillId="0" borderId="9" xfId="0" applyFont="1" applyBorder="1" applyAlignment="1">
      <alignment horizontal="centerContinuous" vertical="center"/>
    </xf>
    <xf numFmtId="0" fontId="1" fillId="0" borderId="7"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Continuous" vertical="center"/>
    </xf>
    <xf numFmtId="0" fontId="0" fillId="0" borderId="2" xfId="0" applyBorder="1" applyAlignment="1">
      <alignment wrapText="1"/>
    </xf>
    <xf numFmtId="184" fontId="1" fillId="0" borderId="30" xfId="0" applyNumberFormat="1" applyFont="1" applyBorder="1" applyAlignment="1">
      <alignment horizontal="center"/>
    </xf>
    <xf numFmtId="184" fontId="1" fillId="0" borderId="33" xfId="0" applyNumberFormat="1" applyFont="1" applyBorder="1" applyAlignment="1">
      <alignment horizontal="center"/>
    </xf>
    <xf numFmtId="0" fontId="1" fillId="0" borderId="21" xfId="0" applyFont="1" applyBorder="1" applyAlignment="1">
      <alignment horizontal="right" vertical="center" wrapText="1"/>
    </xf>
    <xf numFmtId="0" fontId="1" fillId="0" borderId="17" xfId="0" applyFont="1" applyBorder="1" applyAlignment="1">
      <alignment horizontal="right" vertical="center" wrapText="1"/>
    </xf>
    <xf numFmtId="0" fontId="1" fillId="0" borderId="31" xfId="0" applyFont="1" applyBorder="1" applyAlignment="1">
      <alignment horizontal="right" vertical="center"/>
    </xf>
    <xf numFmtId="0" fontId="0" fillId="0" borderId="9" xfId="0" applyBorder="1" applyAlignment="1">
      <alignment horizontal="left" vertical="center" wrapText="1"/>
    </xf>
    <xf numFmtId="210" fontId="1" fillId="4" borderId="33" xfId="0" applyNumberFormat="1" applyFont="1" applyFill="1" applyBorder="1" applyAlignment="1" applyProtection="1">
      <alignment horizontal="center" vertical="center"/>
      <protection locked="0"/>
    </xf>
    <xf numFmtId="0" fontId="0" fillId="0" borderId="17" xfId="0" applyBorder="1" applyAlignment="1">
      <alignment horizontal="left" vertical="center" wrapText="1"/>
    </xf>
    <xf numFmtId="0" fontId="5" fillId="4" borderId="3" xfId="0" applyFont="1" applyFill="1" applyBorder="1" applyAlignment="1">
      <alignment horizontal="left" vertical="center"/>
    </xf>
    <xf numFmtId="0" fontId="0" fillId="4" borderId="3" xfId="0" applyFill="1" applyBorder="1" applyAlignment="1">
      <alignment horizontal="center"/>
    </xf>
    <xf numFmtId="0" fontId="0" fillId="4" borderId="8" xfId="0" applyFill="1" applyBorder="1" applyAlignment="1">
      <alignment horizontal="center"/>
    </xf>
    <xf numFmtId="0" fontId="0" fillId="4" borderId="0" xfId="0" applyFill="1" applyBorder="1" applyAlignment="1">
      <alignment horizontal="center"/>
    </xf>
    <xf numFmtId="0" fontId="1" fillId="4" borderId="6" xfId="0" applyFont="1" applyFill="1" applyBorder="1" applyAlignment="1">
      <alignment horizontal="center" vertical="center"/>
    </xf>
    <xf numFmtId="0" fontId="0" fillId="4" borderId="4" xfId="0" applyFont="1" applyFill="1" applyBorder="1" applyAlignment="1">
      <alignment horizontal="left" vertical="center"/>
    </xf>
    <xf numFmtId="0" fontId="0" fillId="4" borderId="4" xfId="0" applyFill="1" applyBorder="1" applyAlignment="1">
      <alignment horizontal="center"/>
    </xf>
    <xf numFmtId="0" fontId="0" fillId="4" borderId="5" xfId="0" applyFill="1" applyBorder="1" applyAlignment="1">
      <alignment horizontal="center"/>
    </xf>
    <xf numFmtId="10" fontId="1" fillId="4" borderId="11" xfId="21" applyNumberFormat="1" applyFont="1" applyFill="1" applyBorder="1" applyAlignment="1" applyProtection="1">
      <alignment horizontal="center"/>
      <protection locked="0"/>
    </xf>
    <xf numFmtId="0" fontId="1" fillId="0" borderId="2" xfId="0" applyFont="1" applyFill="1" applyBorder="1" applyAlignment="1">
      <alignment horizontal="center"/>
    </xf>
    <xf numFmtId="0" fontId="5" fillId="0" borderId="10" xfId="0" applyFont="1" applyBorder="1" applyAlignment="1">
      <alignment horizontal="centerContinuous"/>
    </xf>
    <xf numFmtId="8" fontId="1" fillId="0" borderId="30" xfId="0" applyNumberFormat="1" applyFont="1" applyFill="1" applyBorder="1" applyAlignment="1">
      <alignment horizontal="center" vertical="center"/>
    </xf>
    <xf numFmtId="1" fontId="1" fillId="0" borderId="4" xfId="0" applyNumberFormat="1" applyFont="1" applyBorder="1" applyAlignment="1">
      <alignment horizontal="center"/>
    </xf>
    <xf numFmtId="181" fontId="1" fillId="0" borderId="26" xfId="0" applyNumberFormat="1" applyFont="1" applyBorder="1" applyAlignment="1">
      <alignment horizontal="center"/>
    </xf>
    <xf numFmtId="181" fontId="1" fillId="0" borderId="29" xfId="0" applyNumberFormat="1" applyFont="1" applyBorder="1" applyAlignment="1">
      <alignment horizontal="center"/>
    </xf>
    <xf numFmtId="181" fontId="1" fillId="0" borderId="32" xfId="0" applyNumberFormat="1" applyFont="1" applyBorder="1" applyAlignment="1">
      <alignment horizontal="center"/>
    </xf>
    <xf numFmtId="181" fontId="1" fillId="0" borderId="57" xfId="0" applyNumberFormat="1" applyFont="1" applyBorder="1" applyAlignment="1">
      <alignment horizontal="center"/>
    </xf>
    <xf numFmtId="181" fontId="1" fillId="0" borderId="62" xfId="0" applyNumberFormat="1" applyFont="1" applyBorder="1" applyAlignment="1">
      <alignment horizontal="center"/>
    </xf>
    <xf numFmtId="181" fontId="1" fillId="0" borderId="63" xfId="0" applyNumberFormat="1" applyFont="1" applyBorder="1" applyAlignment="1">
      <alignment horizontal="center"/>
    </xf>
    <xf numFmtId="181" fontId="1" fillId="0" borderId="26" xfId="0" applyNumberFormat="1" applyFont="1" applyFill="1" applyBorder="1" applyAlignment="1">
      <alignment horizontal="center"/>
    </xf>
    <xf numFmtId="181" fontId="1" fillId="0" borderId="20" xfId="0" applyNumberFormat="1" applyFont="1" applyFill="1" applyBorder="1" applyAlignment="1">
      <alignment horizontal="center"/>
    </xf>
    <xf numFmtId="181" fontId="1" fillId="0" borderId="29" xfId="0" applyNumberFormat="1" applyFont="1" applyFill="1" applyBorder="1" applyAlignment="1">
      <alignment horizontal="center"/>
    </xf>
    <xf numFmtId="181" fontId="1" fillId="0" borderId="38" xfId="0" applyNumberFormat="1" applyFont="1" applyFill="1" applyBorder="1" applyAlignment="1">
      <alignment horizontal="center"/>
    </xf>
    <xf numFmtId="181" fontId="1" fillId="0" borderId="32" xfId="0" applyNumberFormat="1" applyFont="1" applyFill="1" applyBorder="1" applyAlignment="1">
      <alignment horizontal="center"/>
    </xf>
    <xf numFmtId="181" fontId="1" fillId="0" borderId="39" xfId="0" applyNumberFormat="1" applyFont="1" applyFill="1" applyBorder="1" applyAlignment="1">
      <alignment horizontal="center"/>
    </xf>
    <xf numFmtId="1" fontId="1" fillId="4" borderId="30" xfId="0" applyNumberFormat="1" applyFont="1" applyFill="1" applyBorder="1" applyAlignment="1" applyProtection="1">
      <alignment horizontal="center" vertical="center"/>
      <protection locked="0"/>
    </xf>
    <xf numFmtId="1" fontId="1" fillId="4" borderId="22" xfId="0" applyNumberFormat="1" applyFont="1" applyFill="1" applyBorder="1" applyAlignment="1">
      <alignment horizontal="center"/>
    </xf>
    <xf numFmtId="0" fontId="0" fillId="0" borderId="2" xfId="0" applyFont="1" applyBorder="1" applyAlignment="1">
      <alignment/>
    </xf>
    <xf numFmtId="0" fontId="1" fillId="0" borderId="17" xfId="0" applyFont="1" applyBorder="1" applyAlignment="1">
      <alignment horizontal="center"/>
    </xf>
    <xf numFmtId="0" fontId="1" fillId="0" borderId="17" xfId="0" applyFont="1" applyFill="1" applyBorder="1" applyAlignment="1">
      <alignment horizontal="center"/>
    </xf>
    <xf numFmtId="0" fontId="0" fillId="0" borderId="6" xfId="0" applyFont="1" applyBorder="1" applyAlignment="1">
      <alignment/>
    </xf>
    <xf numFmtId="0" fontId="0" fillId="0" borderId="0" xfId="0" applyFont="1" applyAlignment="1">
      <alignment/>
    </xf>
    <xf numFmtId="0" fontId="1" fillId="0" borderId="58" xfId="0" applyFont="1" applyBorder="1" applyAlignment="1">
      <alignment horizontal="center"/>
    </xf>
    <xf numFmtId="0" fontId="1" fillId="0" borderId="19" xfId="0" applyFont="1" applyBorder="1" applyAlignment="1">
      <alignment horizontal="center"/>
    </xf>
    <xf numFmtId="0" fontId="1" fillId="0" borderId="11" xfId="0" applyFont="1" applyBorder="1" applyAlignment="1">
      <alignment horizontal="center"/>
    </xf>
    <xf numFmtId="0" fontId="0" fillId="0" borderId="11" xfId="0" applyFont="1" applyBorder="1" applyAlignment="1">
      <alignment/>
    </xf>
    <xf numFmtId="3" fontId="1" fillId="0" borderId="27" xfId="20" applyNumberFormat="1" applyFont="1" applyBorder="1" applyAlignment="1">
      <alignment horizontal="center" vertical="center"/>
      <protection/>
    </xf>
    <xf numFmtId="0" fontId="1" fillId="0" borderId="64" xfId="0" applyFont="1" applyBorder="1" applyAlignment="1">
      <alignment horizontal="center"/>
    </xf>
    <xf numFmtId="0" fontId="1" fillId="0" borderId="65" xfId="0" applyFont="1" applyBorder="1" applyAlignment="1">
      <alignment horizontal="center"/>
    </xf>
    <xf numFmtId="0" fontId="1" fillId="0" borderId="56" xfId="0" applyFont="1" applyBorder="1" applyAlignment="1">
      <alignment horizontal="center"/>
    </xf>
    <xf numFmtId="7" fontId="1" fillId="0" borderId="30" xfId="0" applyNumberFormat="1" applyFont="1" applyBorder="1" applyAlignment="1">
      <alignment horizontal="center"/>
    </xf>
    <xf numFmtId="181" fontId="1" fillId="0" borderId="66" xfId="0" applyNumberFormat="1" applyFont="1" applyBorder="1" applyAlignment="1">
      <alignment horizontal="center"/>
    </xf>
    <xf numFmtId="181" fontId="1" fillId="0" borderId="27" xfId="0" applyNumberFormat="1" applyFont="1" applyBorder="1" applyAlignment="1">
      <alignment horizontal="center"/>
    </xf>
    <xf numFmtId="181" fontId="1" fillId="0" borderId="30" xfId="0" applyNumberFormat="1" applyFont="1" applyBorder="1" applyAlignment="1">
      <alignment horizontal="center"/>
    </xf>
    <xf numFmtId="181" fontId="1" fillId="0" borderId="33" xfId="0" applyNumberFormat="1" applyFont="1" applyBorder="1" applyAlignment="1">
      <alignment horizontal="center"/>
    </xf>
    <xf numFmtId="181" fontId="1" fillId="0" borderId="11" xfId="0" applyNumberFormat="1" applyFont="1" applyFill="1" applyBorder="1" applyAlignment="1">
      <alignment horizontal="center"/>
    </xf>
    <xf numFmtId="189" fontId="1" fillId="0" borderId="56" xfId="0" applyNumberFormat="1" applyFont="1" applyBorder="1" applyAlignment="1">
      <alignment horizontal="center"/>
    </xf>
    <xf numFmtId="189" fontId="1" fillId="0" borderId="66" xfId="0" applyNumberFormat="1" applyFont="1" applyBorder="1" applyAlignment="1">
      <alignment horizontal="center"/>
    </xf>
    <xf numFmtId="3" fontId="1" fillId="0" borderId="66" xfId="0" applyNumberFormat="1" applyFont="1" applyBorder="1" applyAlignment="1">
      <alignment horizontal="center"/>
    </xf>
    <xf numFmtId="4" fontId="1" fillId="0" borderId="66" xfId="0" applyNumberFormat="1" applyFont="1" applyBorder="1" applyAlignment="1">
      <alignment horizontal="center"/>
    </xf>
    <xf numFmtId="0" fontId="0" fillId="0" borderId="11" xfId="0" applyFill="1" applyBorder="1" applyAlignment="1">
      <alignment/>
    </xf>
    <xf numFmtId="3" fontId="1" fillId="0" borderId="11" xfId="0" applyNumberFormat="1" applyFont="1" applyFill="1" applyBorder="1" applyAlignment="1">
      <alignment horizontal="center"/>
    </xf>
    <xf numFmtId="181" fontId="1" fillId="0" borderId="27" xfId="0" applyNumberFormat="1" applyFont="1" applyFill="1" applyBorder="1" applyAlignment="1">
      <alignment horizontal="center"/>
    </xf>
    <xf numFmtId="184" fontId="1" fillId="0" borderId="64" xfId="0" applyNumberFormat="1" applyFont="1" applyFill="1" applyBorder="1" applyAlignment="1">
      <alignment horizontal="center"/>
    </xf>
    <xf numFmtId="181" fontId="1" fillId="0" borderId="30" xfId="0" applyNumberFormat="1" applyFont="1" applyFill="1" applyBorder="1" applyAlignment="1">
      <alignment horizontal="center"/>
    </xf>
    <xf numFmtId="184" fontId="1" fillId="0" borderId="30" xfId="0" applyNumberFormat="1" applyFont="1" applyFill="1" applyBorder="1" applyAlignment="1">
      <alignment horizontal="center"/>
    </xf>
    <xf numFmtId="181" fontId="1" fillId="0" borderId="33" xfId="0" applyNumberFormat="1" applyFont="1" applyFill="1" applyBorder="1" applyAlignment="1">
      <alignment horizontal="center"/>
    </xf>
    <xf numFmtId="184" fontId="1" fillId="0" borderId="33" xfId="0" applyNumberFormat="1" applyFont="1" applyFill="1" applyBorder="1" applyAlignment="1">
      <alignment horizontal="center"/>
    </xf>
    <xf numFmtId="4" fontId="1" fillId="0" borderId="27" xfId="0" applyNumberFormat="1" applyFont="1" applyBorder="1" applyAlignment="1">
      <alignment horizontal="center"/>
    </xf>
    <xf numFmtId="3" fontId="1" fillId="0" borderId="56" xfId="0" applyNumberFormat="1" applyFont="1" applyBorder="1" applyAlignment="1">
      <alignment horizontal="center"/>
    </xf>
    <xf numFmtId="4" fontId="1" fillId="0" borderId="56" xfId="0" applyNumberFormat="1" applyFont="1" applyBorder="1" applyAlignment="1">
      <alignment horizontal="center"/>
    </xf>
    <xf numFmtId="4" fontId="1" fillId="0" borderId="30" xfId="0" applyNumberFormat="1" applyFont="1" applyBorder="1" applyAlignment="1">
      <alignment horizontal="center"/>
    </xf>
    <xf numFmtId="4" fontId="1" fillId="0" borderId="33" xfId="0" applyNumberFormat="1" applyFont="1" applyBorder="1" applyAlignment="1">
      <alignment horizontal="center"/>
    </xf>
    <xf numFmtId="4" fontId="1" fillId="0" borderId="66" xfId="0" applyNumberFormat="1" applyFont="1" applyFill="1" applyBorder="1" applyAlignment="1">
      <alignment horizontal="center"/>
    </xf>
    <xf numFmtId="4" fontId="1" fillId="0" borderId="56" xfId="0" applyNumberFormat="1" applyFont="1" applyFill="1" applyBorder="1" applyAlignment="1">
      <alignment horizontal="center"/>
    </xf>
    <xf numFmtId="3" fontId="1" fillId="0" borderId="27" xfId="0" applyNumberFormat="1" applyFont="1" applyBorder="1" applyAlignment="1" applyProtection="1">
      <alignment horizontal="center"/>
      <protection locked="0"/>
    </xf>
    <xf numFmtId="5" fontId="1" fillId="0" borderId="30" xfId="0" applyNumberFormat="1" applyFont="1" applyBorder="1" applyAlignment="1">
      <alignment horizontal="center"/>
    </xf>
    <xf numFmtId="3" fontId="1" fillId="0" borderId="66" xfId="0" applyNumberFormat="1" applyFont="1" applyBorder="1" applyAlignment="1" applyProtection="1">
      <alignment horizontal="center"/>
      <protection locked="0"/>
    </xf>
    <xf numFmtId="3" fontId="1" fillId="0" borderId="56" xfId="0" applyNumberFormat="1" applyFont="1" applyBorder="1" applyAlignment="1" applyProtection="1">
      <alignment horizontal="center"/>
      <protection locked="0"/>
    </xf>
    <xf numFmtId="5" fontId="1" fillId="0" borderId="27" xfId="0" applyNumberFormat="1" applyFont="1" applyBorder="1" applyAlignment="1">
      <alignment horizontal="center"/>
    </xf>
    <xf numFmtId="5" fontId="1" fillId="0" borderId="33" xfId="0" applyNumberFormat="1" applyFont="1" applyBorder="1" applyAlignment="1">
      <alignment horizontal="center"/>
    </xf>
    <xf numFmtId="5" fontId="1" fillId="0" borderId="27" xfId="0" applyNumberFormat="1" applyFont="1" applyBorder="1" applyAlignment="1">
      <alignment horizontal="center"/>
    </xf>
    <xf numFmtId="0" fontId="0" fillId="0" borderId="65" xfId="0" applyBorder="1" applyAlignment="1">
      <alignment/>
    </xf>
    <xf numFmtId="4" fontId="1" fillId="0" borderId="27" xfId="0" applyNumberFormat="1" applyFont="1" applyBorder="1" applyAlignment="1" applyProtection="1">
      <alignment horizontal="center"/>
      <protection locked="0"/>
    </xf>
    <xf numFmtId="4" fontId="1" fillId="0" borderId="66" xfId="0" applyNumberFormat="1" applyFont="1" applyBorder="1" applyAlignment="1" applyProtection="1">
      <alignment horizontal="center"/>
      <protection locked="0"/>
    </xf>
    <xf numFmtId="4" fontId="1" fillId="0" borderId="56" xfId="0" applyNumberFormat="1" applyFont="1" applyBorder="1" applyAlignment="1" applyProtection="1">
      <alignment horizontal="center"/>
      <protection locked="0"/>
    </xf>
    <xf numFmtId="0" fontId="1" fillId="0" borderId="64" xfId="0" applyFont="1" applyFill="1" applyBorder="1" applyAlignment="1">
      <alignment horizontal="center"/>
    </xf>
    <xf numFmtId="0" fontId="1" fillId="0" borderId="65" xfId="0" applyFont="1" applyFill="1" applyBorder="1" applyAlignment="1">
      <alignment horizontal="center"/>
    </xf>
    <xf numFmtId="0" fontId="1" fillId="0" borderId="56" xfId="0" applyFont="1" applyFill="1" applyBorder="1" applyAlignment="1">
      <alignment horizontal="center"/>
    </xf>
    <xf numFmtId="0" fontId="1" fillId="4" borderId="66" xfId="0" applyFont="1" applyFill="1" applyBorder="1" applyAlignment="1">
      <alignment horizontal="center"/>
    </xf>
    <xf numFmtId="0" fontId="1" fillId="0" borderId="56" xfId="0" applyFont="1" applyBorder="1" applyAlignment="1">
      <alignment horizontal="centerContinuous"/>
    </xf>
    <xf numFmtId="1" fontId="1" fillId="0" borderId="66" xfId="0" applyNumberFormat="1" applyFont="1" applyFill="1" applyBorder="1" applyAlignment="1">
      <alignment horizontal="center"/>
    </xf>
    <xf numFmtId="0" fontId="1" fillId="4" borderId="56" xfId="0" applyFont="1" applyFill="1" applyBorder="1" applyAlignment="1">
      <alignment horizontal="center"/>
    </xf>
    <xf numFmtId="1" fontId="1" fillId="0" borderId="56" xfId="0" applyNumberFormat="1" applyFont="1" applyFill="1" applyBorder="1" applyAlignment="1">
      <alignment horizontal="center"/>
    </xf>
    <xf numFmtId="0" fontId="1" fillId="0" borderId="52" xfId="0" applyFont="1" applyFill="1" applyBorder="1" applyAlignment="1">
      <alignment horizontal="center"/>
    </xf>
    <xf numFmtId="0" fontId="1" fillId="0" borderId="53" xfId="0" applyFont="1" applyFill="1" applyBorder="1" applyAlignment="1">
      <alignment horizontal="center"/>
    </xf>
    <xf numFmtId="0" fontId="1" fillId="0" borderId="19" xfId="0" applyFont="1" applyBorder="1" applyAlignment="1">
      <alignment horizontal="centerContinuous"/>
    </xf>
    <xf numFmtId="0" fontId="1" fillId="4" borderId="18" xfId="0" applyFont="1" applyFill="1" applyBorder="1" applyAlignment="1">
      <alignment horizontal="center"/>
    </xf>
    <xf numFmtId="0" fontId="1" fillId="4" borderId="19" xfId="0" applyFont="1" applyFill="1" applyBorder="1" applyAlignment="1">
      <alignment horizontal="center"/>
    </xf>
    <xf numFmtId="0" fontId="1" fillId="0" borderId="38" xfId="0" applyFont="1" applyBorder="1" applyAlignment="1">
      <alignment horizontal="centerContinuous"/>
    </xf>
    <xf numFmtId="0" fontId="1" fillId="0" borderId="39" xfId="0" applyFont="1" applyBorder="1" applyAlignment="1">
      <alignment horizontal="centerContinuous"/>
    </xf>
    <xf numFmtId="0" fontId="1" fillId="4" borderId="66" xfId="0" applyFont="1" applyFill="1" applyBorder="1" applyAlignment="1" applyProtection="1">
      <alignment horizontal="center"/>
      <protection locked="0"/>
    </xf>
    <xf numFmtId="0" fontId="11" fillId="4" borderId="27" xfId="20" applyFont="1" applyFill="1" applyBorder="1" applyAlignment="1" applyProtection="1">
      <alignment horizontal="centerContinuous" vertical="center"/>
      <protection locked="0"/>
    </xf>
    <xf numFmtId="0" fontId="11" fillId="4" borderId="66" xfId="20" applyFont="1" applyFill="1" applyBorder="1" applyAlignment="1" applyProtection="1">
      <alignment horizontal="centerContinuous" vertical="center"/>
      <protection locked="0"/>
    </xf>
    <xf numFmtId="1" fontId="1" fillId="0" borderId="66" xfId="20" applyNumberFormat="1" applyFont="1" applyBorder="1" applyAlignment="1">
      <alignment horizontal="center" vertical="center"/>
      <protection/>
    </xf>
    <xf numFmtId="0" fontId="11" fillId="4" borderId="66" xfId="0" applyFont="1" applyFill="1" applyBorder="1" applyAlignment="1" applyProtection="1">
      <alignment horizontal="centerContinuous" vertical="center"/>
      <protection locked="0"/>
    </xf>
    <xf numFmtId="0" fontId="1" fillId="4" borderId="66" xfId="20" applyFont="1" applyFill="1" applyBorder="1" applyAlignment="1" applyProtection="1">
      <alignment horizontal="centerContinuous" vertical="center"/>
      <protection locked="0"/>
    </xf>
    <xf numFmtId="0" fontId="1" fillId="4" borderId="56" xfId="0" applyFont="1" applyFill="1" applyBorder="1" applyAlignment="1" applyProtection="1">
      <alignment horizontal="center"/>
      <protection locked="0"/>
    </xf>
    <xf numFmtId="0" fontId="1" fillId="4" borderId="56" xfId="20" applyFont="1" applyFill="1" applyBorder="1" applyAlignment="1" applyProtection="1">
      <alignment horizontal="centerContinuous" vertical="center"/>
      <protection locked="0"/>
    </xf>
    <xf numFmtId="1" fontId="1" fillId="0" borderId="56" xfId="20" applyNumberFormat="1" applyFont="1" applyBorder="1" applyAlignment="1">
      <alignment horizontal="center" vertical="center"/>
      <protection/>
    </xf>
    <xf numFmtId="1" fontId="1" fillId="0" borderId="30" xfId="0" applyNumberFormat="1" applyFont="1" applyBorder="1" applyAlignment="1">
      <alignment horizontal="center"/>
    </xf>
    <xf numFmtId="184" fontId="1" fillId="0" borderId="27" xfId="17" applyNumberFormat="1" applyFont="1" applyFill="1" applyBorder="1" applyAlignment="1">
      <alignment horizontal="center"/>
    </xf>
    <xf numFmtId="0" fontId="1" fillId="0" borderId="16" xfId="0" applyFont="1" applyBorder="1" applyAlignment="1">
      <alignment horizontal="left"/>
    </xf>
    <xf numFmtId="0" fontId="1" fillId="4" borderId="16" xfId="0" applyFont="1" applyFill="1" applyBorder="1" applyAlignment="1">
      <alignment horizontal="left" wrapText="1"/>
    </xf>
    <xf numFmtId="0" fontId="1" fillId="4" borderId="11" xfId="0" applyFont="1" applyFill="1" applyBorder="1" applyAlignment="1" applyProtection="1">
      <alignment horizontal="left"/>
      <protection locked="0"/>
    </xf>
    <xf numFmtId="171" fontId="1" fillId="0" borderId="11" xfId="0" applyNumberFormat="1" applyFont="1" applyBorder="1" applyAlignment="1">
      <alignment horizontal="left"/>
    </xf>
    <xf numFmtId="2" fontId="1" fillId="0" borderId="11" xfId="0" applyNumberFormat="1" applyFont="1" applyBorder="1" applyAlignment="1">
      <alignment horizontal="left"/>
    </xf>
    <xf numFmtId="5" fontId="1" fillId="0" borderId="11" xfId="17" applyNumberFormat="1" applyFont="1" applyBorder="1" applyAlignment="1">
      <alignment horizontal="left"/>
    </xf>
    <xf numFmtId="5" fontId="1" fillId="0" borderId="17" xfId="17" applyNumberFormat="1" applyFont="1" applyBorder="1" applyAlignment="1">
      <alignment horizontal="left"/>
    </xf>
    <xf numFmtId="171" fontId="1" fillId="0" borderId="28" xfId="17" applyNumberFormat="1" applyFont="1" applyFill="1" applyBorder="1" applyAlignment="1">
      <alignment horizontal="left"/>
    </xf>
    <xf numFmtId="171" fontId="1" fillId="4" borderId="11" xfId="0" applyNumberFormat="1" applyFont="1" applyFill="1" applyBorder="1" applyAlignment="1" applyProtection="1">
      <alignment horizontal="left"/>
      <protection locked="0"/>
    </xf>
    <xf numFmtId="5" fontId="1" fillId="0" borderId="11" xfId="0" applyNumberFormat="1" applyFont="1" applyBorder="1" applyAlignment="1">
      <alignment horizontal="left"/>
    </xf>
    <xf numFmtId="1" fontId="1" fillId="0" borderId="28" xfId="17" applyNumberFormat="1" applyFont="1" applyBorder="1" applyAlignment="1">
      <alignment horizontal="left"/>
    </xf>
    <xf numFmtId="6" fontId="1" fillId="4" borderId="11" xfId="0" applyNumberFormat="1" applyFont="1" applyFill="1" applyBorder="1" applyAlignment="1" applyProtection="1">
      <alignment horizontal="left"/>
      <protection locked="0"/>
    </xf>
    <xf numFmtId="6" fontId="1" fillId="0" borderId="16" xfId="17" applyNumberFormat="1" applyFont="1" applyBorder="1" applyAlignment="1">
      <alignment horizontal="left"/>
    </xf>
    <xf numFmtId="6" fontId="1" fillId="4" borderId="11" xfId="17" applyNumberFormat="1" applyFont="1" applyFill="1" applyBorder="1" applyAlignment="1" applyProtection="1">
      <alignment horizontal="left"/>
      <protection locked="0"/>
    </xf>
    <xf numFmtId="165" fontId="1" fillId="0" borderId="16" xfId="17" applyNumberFormat="1" applyFont="1" applyBorder="1" applyAlignment="1">
      <alignment horizontal="left"/>
    </xf>
    <xf numFmtId="10" fontId="1" fillId="4" borderId="11" xfId="21" applyNumberFormat="1" applyFont="1" applyFill="1" applyBorder="1" applyAlignment="1" applyProtection="1">
      <alignment horizontal="left"/>
      <protection locked="0"/>
    </xf>
    <xf numFmtId="6" fontId="1" fillId="0" borderId="16" xfId="0" applyNumberFormat="1" applyFont="1" applyBorder="1" applyAlignment="1">
      <alignment horizontal="left"/>
    </xf>
    <xf numFmtId="6" fontId="1" fillId="4" borderId="21" xfId="0" applyNumberFormat="1" applyFont="1" applyFill="1" applyBorder="1" applyAlignment="1" applyProtection="1">
      <alignment horizontal="left" wrapText="1"/>
      <protection locked="0"/>
    </xf>
    <xf numFmtId="6" fontId="1" fillId="4" borderId="11" xfId="0" applyNumberFormat="1" applyFont="1" applyFill="1" applyBorder="1" applyAlignment="1" applyProtection="1">
      <alignment horizontal="left" wrapText="1"/>
      <protection locked="0"/>
    </xf>
    <xf numFmtId="5" fontId="1" fillId="0" borderId="21" xfId="0" applyNumberFormat="1" applyFont="1" applyBorder="1" applyAlignment="1">
      <alignment horizontal="left"/>
    </xf>
    <xf numFmtId="0" fontId="1" fillId="0" borderId="3" xfId="0" applyFont="1" applyBorder="1" applyAlignment="1">
      <alignment horizontal="left"/>
    </xf>
    <xf numFmtId="0" fontId="1" fillId="0" borderId="0" xfId="0" applyFont="1" applyAlignment="1">
      <alignment horizontal="left"/>
    </xf>
    <xf numFmtId="1" fontId="1" fillId="4" borderId="11" xfId="17" applyNumberFormat="1" applyFont="1" applyFill="1" applyBorder="1" applyAlignment="1" applyProtection="1">
      <alignment horizontal="left"/>
      <protection locked="0"/>
    </xf>
    <xf numFmtId="2" fontId="14" fillId="4" borderId="11" xfId="0" applyNumberFormat="1" applyFont="1" applyFill="1" applyBorder="1" applyAlignment="1" applyProtection="1">
      <alignment horizontal="left"/>
      <protection locked="0"/>
    </xf>
    <xf numFmtId="0" fontId="14" fillId="4" borderId="11" xfId="21" applyNumberFormat="1" applyFont="1" applyFill="1" applyBorder="1" applyAlignment="1" applyProtection="1">
      <alignment horizontal="left"/>
      <protection locked="0"/>
    </xf>
    <xf numFmtId="9" fontId="14" fillId="4" borderId="11" xfId="21" applyFont="1" applyFill="1" applyBorder="1" applyAlignment="1" applyProtection="1">
      <alignment horizontal="left"/>
      <protection locked="0"/>
    </xf>
    <xf numFmtId="171" fontId="11" fillId="0" borderId="11" xfId="0" applyNumberFormat="1" applyFont="1" applyFill="1" applyBorder="1" applyAlignment="1" applyProtection="1">
      <alignment horizontal="left"/>
      <protection locked="0"/>
    </xf>
    <xf numFmtId="171" fontId="14" fillId="4" borderId="11" xfId="0" applyNumberFormat="1" applyFont="1" applyFill="1" applyBorder="1" applyAlignment="1" applyProtection="1">
      <alignment horizontal="left"/>
      <protection locked="0"/>
    </xf>
    <xf numFmtId="0" fontId="1" fillId="4" borderId="0" xfId="0" applyFont="1" applyFill="1" applyBorder="1" applyAlignment="1">
      <alignment horizontal="left" vertical="center"/>
    </xf>
    <xf numFmtId="0" fontId="1" fillId="4" borderId="21" xfId="0" applyFont="1" applyFill="1" applyBorder="1" applyAlignment="1">
      <alignment horizontal="left"/>
    </xf>
    <xf numFmtId="0" fontId="1" fillId="4" borderId="11" xfId="0" applyFont="1" applyFill="1" applyBorder="1" applyAlignment="1">
      <alignment horizontal="left"/>
    </xf>
    <xf numFmtId="0" fontId="1" fillId="4" borderId="17" xfId="0" applyFont="1" applyFill="1" applyBorder="1" applyAlignment="1">
      <alignment horizontal="left"/>
    </xf>
    <xf numFmtId="0" fontId="5" fillId="4" borderId="14" xfId="0" applyFont="1" applyFill="1" applyBorder="1" applyAlignment="1">
      <alignment horizontal="left"/>
    </xf>
    <xf numFmtId="0" fontId="0" fillId="0" borderId="0" xfId="0" applyFill="1" applyAlignment="1">
      <alignment horizontal="center"/>
    </xf>
    <xf numFmtId="0" fontId="1" fillId="0" borderId="0" xfId="0" applyFont="1" applyFill="1" applyBorder="1" applyAlignment="1">
      <alignment horizontal="right" vertical="center"/>
    </xf>
    <xf numFmtId="1" fontId="1" fillId="4" borderId="56" xfId="0" applyNumberFormat="1" applyFont="1" applyFill="1" applyBorder="1" applyAlignment="1" applyProtection="1">
      <alignment horizontal="center" vertical="center"/>
      <protection locked="0"/>
    </xf>
    <xf numFmtId="1" fontId="1" fillId="4" borderId="19" xfId="0" applyNumberFormat="1" applyFont="1" applyFill="1" applyBorder="1" applyAlignment="1" applyProtection="1">
      <alignment horizontal="center" vertical="center"/>
      <protection locked="0"/>
    </xf>
    <xf numFmtId="1" fontId="1" fillId="4" borderId="29" xfId="0" applyNumberFormat="1" applyFont="1" applyFill="1" applyBorder="1" applyAlignment="1" applyProtection="1">
      <alignment horizontal="center" vertical="center"/>
      <protection locked="0"/>
    </xf>
    <xf numFmtId="1" fontId="1" fillId="4" borderId="32" xfId="0" applyNumberFormat="1" applyFont="1" applyFill="1" applyBorder="1" applyAlignment="1" applyProtection="1">
      <alignment horizontal="center" vertical="center"/>
      <protection locked="0"/>
    </xf>
    <xf numFmtId="1" fontId="1" fillId="4" borderId="39" xfId="0" applyNumberFormat="1" applyFont="1" applyFill="1" applyBorder="1" applyAlignment="1" applyProtection="1">
      <alignment horizontal="center" vertical="center"/>
      <protection locked="0"/>
    </xf>
    <xf numFmtId="0" fontId="31" fillId="4" borderId="3" xfId="0" applyFont="1" applyFill="1" applyBorder="1" applyAlignment="1">
      <alignment horizontal="centerContinuous" vertical="center"/>
    </xf>
    <xf numFmtId="0" fontId="31" fillId="4" borderId="0" xfId="0" applyFont="1" applyFill="1" applyBorder="1" applyAlignment="1">
      <alignment horizontal="centerContinuous" vertical="center"/>
    </xf>
    <xf numFmtId="0" fontId="31" fillId="4" borderId="4" xfId="0" applyFont="1" applyFill="1" applyBorder="1" applyAlignment="1">
      <alignment horizontal="centerContinuous" vertical="center"/>
    </xf>
    <xf numFmtId="0" fontId="22" fillId="4" borderId="9" xfId="0" applyFont="1" applyFill="1" applyBorder="1" applyAlignment="1">
      <alignment horizontal="left" vertical="top"/>
    </xf>
    <xf numFmtId="0" fontId="29" fillId="4" borderId="3" xfId="0" applyFont="1" applyFill="1" applyBorder="1" applyAlignment="1">
      <alignment/>
    </xf>
    <xf numFmtId="0" fontId="29" fillId="4" borderId="0" xfId="0" applyFont="1" applyFill="1" applyBorder="1" applyAlignment="1">
      <alignment/>
    </xf>
    <xf numFmtId="0" fontId="0" fillId="4" borderId="6" xfId="0" applyFill="1" applyBorder="1" applyAlignment="1">
      <alignment horizontal="center"/>
    </xf>
    <xf numFmtId="0" fontId="29" fillId="4" borderId="4" xfId="0" applyFont="1" applyFill="1" applyBorder="1" applyAlignment="1">
      <alignment/>
    </xf>
    <xf numFmtId="0" fontId="5" fillId="0" borderId="0" xfId="0" applyFont="1" applyFill="1" applyBorder="1" applyAlignment="1">
      <alignment horizontal="left" vertical="top"/>
    </xf>
    <xf numFmtId="0" fontId="31" fillId="0" borderId="0" xfId="0" applyFont="1" applyFill="1" applyBorder="1" applyAlignment="1">
      <alignment horizontal="centerContinuous" vertical="center"/>
    </xf>
    <xf numFmtId="0" fontId="29" fillId="0" borderId="0" xfId="0"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horizontal="center"/>
    </xf>
    <xf numFmtId="0" fontId="22" fillId="0" borderId="0" xfId="0" applyFont="1" applyAlignment="1">
      <alignment/>
    </xf>
    <xf numFmtId="0" fontId="5" fillId="0" borderId="9" xfId="0" applyFont="1" applyFill="1" applyBorder="1" applyAlignment="1">
      <alignment horizontal="left" vertical="top"/>
    </xf>
    <xf numFmtId="0" fontId="1" fillId="0" borderId="3" xfId="0" applyFont="1" applyFill="1" applyBorder="1" applyAlignment="1">
      <alignment horizontal="right" vertical="center"/>
    </xf>
    <xf numFmtId="0" fontId="5" fillId="0" borderId="9" xfId="0" applyFont="1" applyFill="1" applyBorder="1" applyAlignment="1">
      <alignment horizontal="left" vertical="center"/>
    </xf>
    <xf numFmtId="0" fontId="5" fillId="0" borderId="3" xfId="0" applyFont="1" applyFill="1" applyBorder="1" applyAlignment="1">
      <alignment horizontal="left" vertical="center"/>
    </xf>
    <xf numFmtId="0" fontId="5"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5" fillId="0" borderId="14" xfId="0" applyFont="1" applyFill="1" applyBorder="1" applyAlignment="1">
      <alignment horizontal="left"/>
    </xf>
    <xf numFmtId="0" fontId="0" fillId="0" borderId="10" xfId="0" applyFill="1" applyBorder="1" applyAlignment="1">
      <alignment horizontal="left"/>
    </xf>
    <xf numFmtId="0" fontId="0" fillId="0" borderId="12" xfId="0" applyFill="1" applyBorder="1" applyAlignment="1">
      <alignment horizontal="right"/>
    </xf>
    <xf numFmtId="0" fontId="1" fillId="0" borderId="0" xfId="0" applyFont="1" applyFill="1" applyAlignment="1">
      <alignment/>
    </xf>
    <xf numFmtId="0" fontId="0" fillId="0" borderId="54" xfId="0" applyFill="1" applyBorder="1" applyAlignment="1">
      <alignment/>
    </xf>
    <xf numFmtId="0" fontId="1" fillId="0" borderId="34" xfId="0" applyFont="1" applyFill="1" applyBorder="1" applyAlignment="1">
      <alignment horizontal="right" vertical="center"/>
    </xf>
    <xf numFmtId="0" fontId="0" fillId="0" borderId="49" xfId="0" applyFill="1" applyBorder="1" applyAlignment="1">
      <alignment/>
    </xf>
    <xf numFmtId="0" fontId="0" fillId="0" borderId="55" xfId="0" applyFill="1" applyBorder="1" applyAlignment="1">
      <alignment/>
    </xf>
    <xf numFmtId="0" fontId="23" fillId="0" borderId="14" xfId="0" applyFont="1" applyFill="1" applyBorder="1" applyAlignment="1">
      <alignment horizontal="centerContinuous" vertical="top" wrapText="1"/>
    </xf>
    <xf numFmtId="0" fontId="0" fillId="0" borderId="0" xfId="0" applyFill="1" applyBorder="1" applyAlignment="1">
      <alignment horizontal="centerContinuous"/>
    </xf>
    <xf numFmtId="0" fontId="1" fillId="4" borderId="0" xfId="0" applyFont="1" applyFill="1" applyAlignment="1">
      <alignment wrapText="1"/>
    </xf>
    <xf numFmtId="0" fontId="1" fillId="4" borderId="3" xfId="0" applyFont="1" applyFill="1" applyBorder="1" applyAlignment="1">
      <alignment horizontal="right" vertical="center"/>
    </xf>
    <xf numFmtId="0" fontId="5" fillId="4" borderId="9" xfId="0" applyFont="1" applyFill="1" applyBorder="1" applyAlignment="1">
      <alignment horizontal="left" vertical="center"/>
    </xf>
    <xf numFmtId="0" fontId="5" fillId="4" borderId="8" xfId="0" applyFont="1" applyFill="1" applyBorder="1" applyAlignment="1">
      <alignment horizontal="left" vertical="center"/>
    </xf>
    <xf numFmtId="0" fontId="0" fillId="4" borderId="0" xfId="0" applyFill="1" applyAlignment="1">
      <alignment horizontal="center"/>
    </xf>
    <xf numFmtId="0" fontId="0" fillId="4" borderId="2" xfId="0" applyFill="1" applyBorder="1" applyAlignment="1">
      <alignment horizontal="center"/>
    </xf>
    <xf numFmtId="0" fontId="1" fillId="4" borderId="0" xfId="0" applyFont="1" applyFill="1" applyBorder="1" applyAlignment="1">
      <alignment horizontal="right" vertical="center"/>
    </xf>
    <xf numFmtId="0" fontId="1" fillId="4" borderId="6" xfId="0" applyFont="1" applyFill="1" applyBorder="1" applyAlignment="1">
      <alignment horizontal="left" vertical="center"/>
    </xf>
    <xf numFmtId="0" fontId="0" fillId="4" borderId="7" xfId="0" applyFill="1" applyBorder="1" applyAlignment="1">
      <alignment horizontal="center"/>
    </xf>
    <xf numFmtId="0" fontId="1" fillId="4" borderId="4" xfId="0" applyFont="1" applyFill="1" applyBorder="1" applyAlignment="1">
      <alignment horizontal="right" vertical="center"/>
    </xf>
    <xf numFmtId="0" fontId="0" fillId="4" borderId="7" xfId="0" applyFont="1" applyFill="1" applyBorder="1" applyAlignment="1">
      <alignment horizontal="left" vertical="center"/>
    </xf>
    <xf numFmtId="0" fontId="0" fillId="4" borderId="5" xfId="0" applyFont="1" applyFill="1" applyBorder="1" applyAlignment="1">
      <alignment horizontal="left" vertical="center"/>
    </xf>
    <xf numFmtId="0" fontId="5" fillId="4" borderId="10" xfId="0" applyFont="1" applyFill="1" applyBorder="1" applyAlignment="1">
      <alignment horizontal="right"/>
    </xf>
    <xf numFmtId="0" fontId="5" fillId="4" borderId="14" xfId="0" applyFont="1" applyFill="1" applyBorder="1" applyAlignment="1">
      <alignment horizontal="centerContinuous" vertical="center"/>
    </xf>
    <xf numFmtId="0" fontId="24" fillId="4" borderId="12" xfId="0" applyFont="1" applyFill="1" applyBorder="1" applyAlignment="1">
      <alignment horizontal="centerContinuous"/>
    </xf>
    <xf numFmtId="0" fontId="24" fillId="4" borderId="0" xfId="0" applyFont="1" applyFill="1" applyAlignment="1">
      <alignment/>
    </xf>
    <xf numFmtId="0" fontId="0" fillId="0" borderId="49" xfId="0" applyBorder="1" applyAlignment="1">
      <alignment/>
    </xf>
    <xf numFmtId="0" fontId="5" fillId="4" borderId="14" xfId="0" applyFont="1" applyFill="1" applyBorder="1" applyAlignment="1">
      <alignment/>
    </xf>
    <xf numFmtId="0" fontId="24" fillId="4" borderId="10" xfId="0" applyFont="1" applyFill="1" applyBorder="1" applyAlignment="1">
      <alignment/>
    </xf>
    <xf numFmtId="0" fontId="5" fillId="4" borderId="14" xfId="0" applyFont="1" applyFill="1" applyBorder="1" applyAlignment="1">
      <alignment horizontal="centerContinuous" wrapText="1"/>
    </xf>
    <xf numFmtId="0" fontId="5" fillId="4" borderId="0" xfId="0" applyFont="1" applyFill="1" applyBorder="1" applyAlignment="1">
      <alignment horizontal="centerContinuous"/>
    </xf>
    <xf numFmtId="0" fontId="5" fillId="4" borderId="12" xfId="0" applyFont="1" applyFill="1" applyBorder="1" applyAlignment="1">
      <alignment horizontal="centerContinuous"/>
    </xf>
    <xf numFmtId="0" fontId="5" fillId="4" borderId="0" xfId="0" applyFont="1" applyFill="1" applyAlignment="1">
      <alignment/>
    </xf>
    <xf numFmtId="0" fontId="0" fillId="0" borderId="54" xfId="0" applyBorder="1" applyAlignment="1">
      <alignment/>
    </xf>
    <xf numFmtId="0" fontId="0" fillId="0" borderId="55" xfId="0" applyBorder="1" applyAlignment="1">
      <alignment/>
    </xf>
    <xf numFmtId="0" fontId="5" fillId="4" borderId="14" xfId="0" applyFont="1" applyFill="1" applyBorder="1" applyAlignment="1">
      <alignment horizontal="left" wrapText="1"/>
    </xf>
    <xf numFmtId="0" fontId="5" fillId="4" borderId="10" xfId="0" applyFont="1" applyFill="1" applyBorder="1" applyAlignment="1">
      <alignment horizontal="right" wrapText="1"/>
    </xf>
    <xf numFmtId="0" fontId="5" fillId="4" borderId="14" xfId="0" applyFont="1" applyFill="1" applyBorder="1" applyAlignment="1">
      <alignment/>
    </xf>
    <xf numFmtId="6" fontId="5" fillId="4" borderId="14" xfId="0" applyNumberFormat="1" applyFont="1" applyFill="1" applyBorder="1" applyAlignment="1">
      <alignment horizontal="centerContinuous" wrapText="1"/>
    </xf>
    <xf numFmtId="0" fontId="1" fillId="0" borderId="0" xfId="0" applyFont="1" applyBorder="1" applyAlignment="1">
      <alignment horizontal="left"/>
    </xf>
    <xf numFmtId="0" fontId="0" fillId="0" borderId="29" xfId="0" applyFont="1" applyBorder="1" applyAlignment="1">
      <alignment horizontal="right"/>
    </xf>
    <xf numFmtId="6" fontId="11" fillId="0" borderId="30" xfId="20" applyNumberFormat="1" applyFont="1" applyBorder="1" applyAlignment="1" applyProtection="1">
      <alignment horizontal="center"/>
      <protection locked="0"/>
    </xf>
    <xf numFmtId="1" fontId="11" fillId="0" borderId="30" xfId="20" applyNumberFormat="1" applyFont="1" applyBorder="1" applyAlignment="1" applyProtection="1">
      <alignment horizontal="center"/>
      <protection locked="0"/>
    </xf>
    <xf numFmtId="171" fontId="11" fillId="0" borderId="30" xfId="20" applyNumberFormat="1" applyFont="1" applyBorder="1" applyAlignment="1" applyProtection="1">
      <alignment horizontal="center"/>
      <protection locked="0"/>
    </xf>
    <xf numFmtId="1" fontId="11" fillId="0" borderId="30" xfId="0" applyNumberFormat="1" applyFont="1" applyBorder="1" applyAlignment="1" applyProtection="1">
      <alignment horizontal="center"/>
      <protection locked="0"/>
    </xf>
    <xf numFmtId="180" fontId="11" fillId="0" borderId="30" xfId="0" applyNumberFormat="1" applyFont="1" applyBorder="1" applyAlignment="1" applyProtection="1">
      <alignment horizontal="center"/>
      <protection locked="0"/>
    </xf>
    <xf numFmtId="189" fontId="11" fillId="0" borderId="30" xfId="0" applyNumberFormat="1" applyFont="1" applyBorder="1" applyAlignment="1" applyProtection="1">
      <alignment horizontal="center"/>
      <protection locked="0"/>
    </xf>
    <xf numFmtId="1" fontId="11" fillId="0" borderId="30" xfId="21" applyNumberFormat="1" applyFont="1" applyBorder="1" applyAlignment="1" applyProtection="1">
      <alignment horizontal="center"/>
      <protection locked="0"/>
    </xf>
    <xf numFmtId="8" fontId="11" fillId="0" borderId="30" xfId="20" applyNumberFormat="1" applyFont="1" applyBorder="1" applyAlignment="1" applyProtection="1">
      <alignment horizontal="center"/>
      <protection locked="0"/>
    </xf>
    <xf numFmtId="0" fontId="35" fillId="0" borderId="0" xfId="0" applyFont="1" applyAlignment="1">
      <alignment/>
    </xf>
    <xf numFmtId="3" fontId="0" fillId="0" borderId="0" xfId="0" applyNumberFormat="1" applyFont="1" applyBorder="1" applyAlignment="1">
      <alignment/>
    </xf>
    <xf numFmtId="3" fontId="0" fillId="0" borderId="0" xfId="0" applyNumberFormat="1" applyFont="1" applyBorder="1" applyAlignment="1">
      <alignment horizontal="center"/>
    </xf>
    <xf numFmtId="3" fontId="0" fillId="0" borderId="0" xfId="0" applyNumberFormat="1" applyFont="1" applyBorder="1" applyAlignment="1">
      <alignment horizontal="right"/>
    </xf>
    <xf numFmtId="3" fontId="17" fillId="0" borderId="0" xfId="17" applyNumberFormat="1" applyFont="1" applyBorder="1" applyAlignment="1">
      <alignment horizontal="center"/>
    </xf>
    <xf numFmtId="3" fontId="1" fillId="0" borderId="0" xfId="0" applyNumberFormat="1" applyFont="1" applyBorder="1" applyAlignment="1">
      <alignment horizontal="left"/>
    </xf>
    <xf numFmtId="3" fontId="0" fillId="0" borderId="30" xfId="0" applyNumberFormat="1" applyFont="1" applyBorder="1" applyAlignment="1">
      <alignment horizontal="center"/>
    </xf>
    <xf numFmtId="191" fontId="0" fillId="0" borderId="62" xfId="0" applyNumberFormat="1" applyFont="1" applyBorder="1" applyAlignment="1" applyProtection="1" quotePrefix="1">
      <alignment horizontal="center"/>
      <protection locked="0"/>
    </xf>
    <xf numFmtId="0" fontId="0" fillId="0" borderId="30" xfId="0" applyNumberFormat="1" applyFont="1" applyBorder="1" applyAlignment="1" applyProtection="1" quotePrefix="1">
      <alignment horizontal="center"/>
      <protection locked="0"/>
    </xf>
    <xf numFmtId="1" fontId="0" fillId="0" borderId="30" xfId="0" applyNumberFormat="1" applyFont="1" applyBorder="1" applyAlignment="1" applyProtection="1" quotePrefix="1">
      <alignment horizontal="center"/>
      <protection locked="0"/>
    </xf>
    <xf numFmtId="3" fontId="0" fillId="0" borderId="67" xfId="0" applyNumberFormat="1" applyFont="1" applyBorder="1" applyAlignment="1">
      <alignment horizontal="center"/>
    </xf>
    <xf numFmtId="3" fontId="0" fillId="0" borderId="68" xfId="0" applyNumberFormat="1" applyFont="1" applyBorder="1" applyAlignment="1">
      <alignment horizontal="center"/>
    </xf>
    <xf numFmtId="3" fontId="0" fillId="0" borderId="1" xfId="0" applyNumberFormat="1" applyFont="1" applyBorder="1" applyAlignment="1">
      <alignment horizontal="center"/>
    </xf>
    <xf numFmtId="0" fontId="1" fillId="0" borderId="0" xfId="0" applyFont="1" applyAlignment="1">
      <alignment/>
    </xf>
    <xf numFmtId="0" fontId="0" fillId="0" borderId="0" xfId="0" applyFont="1" applyAlignment="1">
      <alignment horizontal="center"/>
    </xf>
    <xf numFmtId="0" fontId="0" fillId="0" borderId="0" xfId="0" applyAlignment="1">
      <alignment horizontal="right"/>
    </xf>
    <xf numFmtId="3" fontId="0" fillId="0" borderId="0" xfId="17" applyNumberFormat="1" applyAlignment="1">
      <alignment horizontal="right"/>
    </xf>
    <xf numFmtId="3" fontId="17"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Alignment="1">
      <alignment/>
    </xf>
    <xf numFmtId="3" fontId="0" fillId="0" borderId="69" xfId="0" applyNumberFormat="1" applyFont="1" applyBorder="1" applyAlignment="1">
      <alignment horizontal="center"/>
    </xf>
    <xf numFmtId="3" fontId="0" fillId="0" borderId="69" xfId="0" applyNumberFormat="1" applyFont="1" applyBorder="1" applyAlignment="1" applyProtection="1">
      <alignment horizontal="center"/>
      <protection locked="0"/>
    </xf>
    <xf numFmtId="3" fontId="0" fillId="0" borderId="30" xfId="17" applyNumberFormat="1" applyFont="1" applyBorder="1" applyAlignment="1">
      <alignment horizontal="center"/>
    </xf>
    <xf numFmtId="3" fontId="0" fillId="0" borderId="0" xfId="17" applyNumberFormat="1" applyFont="1" applyBorder="1" applyAlignment="1">
      <alignment horizontal="center"/>
    </xf>
    <xf numFmtId="3" fontId="0" fillId="0" borderId="62" xfId="17" applyNumberFormat="1" applyFont="1" applyBorder="1" applyAlignment="1">
      <alignment horizontal="center"/>
    </xf>
    <xf numFmtId="3" fontId="0" fillId="0" borderId="30" xfId="0" applyNumberFormat="1" applyFont="1" applyBorder="1" applyAlignment="1" applyProtection="1">
      <alignment horizontal="center"/>
      <protection locked="0"/>
    </xf>
    <xf numFmtId="181" fontId="0" fillId="0" borderId="0" xfId="0" applyNumberFormat="1" applyFont="1" applyBorder="1" applyAlignment="1">
      <alignment/>
    </xf>
    <xf numFmtId="181" fontId="1" fillId="0" borderId="0" xfId="0" applyNumberFormat="1" applyFont="1" applyBorder="1" applyAlignment="1">
      <alignment/>
    </xf>
    <xf numFmtId="181" fontId="0" fillId="0" borderId="0" xfId="0" applyNumberFormat="1" applyFont="1" applyBorder="1" applyAlignment="1">
      <alignment horizontal="right"/>
    </xf>
    <xf numFmtId="3" fontId="0" fillId="0" borderId="0" xfId="0" applyNumberFormat="1" applyAlignment="1">
      <alignment horizontal="right"/>
    </xf>
    <xf numFmtId="3" fontId="36" fillId="0" borderId="0" xfId="0" applyNumberFormat="1" applyFont="1" applyAlignment="1">
      <alignment horizontal="right"/>
    </xf>
    <xf numFmtId="191" fontId="0" fillId="0" borderId="49" xfId="0" applyNumberFormat="1" applyFont="1" applyFill="1" applyBorder="1" applyAlignment="1" applyProtection="1">
      <alignment horizontal="center"/>
      <protection locked="0"/>
    </xf>
    <xf numFmtId="181" fontId="0" fillId="0" borderId="0" xfId="0" applyNumberFormat="1" applyFont="1" applyBorder="1" applyAlignment="1">
      <alignment horizontal="center"/>
    </xf>
    <xf numFmtId="181" fontId="0" fillId="0" borderId="0" xfId="0" applyNumberFormat="1" applyFont="1" applyAlignment="1">
      <alignment/>
    </xf>
    <xf numFmtId="191" fontId="0" fillId="0" borderId="7" xfId="0" applyNumberFormat="1" applyFont="1" applyBorder="1" applyAlignment="1" applyProtection="1">
      <alignment horizontal="center"/>
      <protection locked="0"/>
    </xf>
    <xf numFmtId="181" fontId="0" fillId="0" borderId="19" xfId="0" applyNumberFormat="1" applyFont="1" applyBorder="1" applyAlignment="1">
      <alignment horizontal="center"/>
    </xf>
    <xf numFmtId="0" fontId="0" fillId="0" borderId="70" xfId="0" applyBorder="1" applyAlignment="1">
      <alignment horizontal="left"/>
    </xf>
    <xf numFmtId="0" fontId="0" fillId="0" borderId="71" xfId="0" applyBorder="1" applyAlignment="1">
      <alignment horizontal="left"/>
    </xf>
    <xf numFmtId="0" fontId="0" fillId="0" borderId="72" xfId="0" applyBorder="1" applyAlignment="1">
      <alignment horizontal="left"/>
    </xf>
    <xf numFmtId="0" fontId="0" fillId="0" borderId="69" xfId="0" applyBorder="1" applyAlignment="1">
      <alignment/>
    </xf>
    <xf numFmtId="0" fontId="0" fillId="0" borderId="35" xfId="0" applyFont="1" applyBorder="1" applyAlignment="1">
      <alignment/>
    </xf>
    <xf numFmtId="0" fontId="0" fillId="0" borderId="62" xfId="0" applyFont="1" applyBorder="1" applyAlignment="1">
      <alignment/>
    </xf>
    <xf numFmtId="3" fontId="0" fillId="0" borderId="65" xfId="0" applyNumberFormat="1" applyFont="1" applyBorder="1" applyAlignment="1">
      <alignment/>
    </xf>
    <xf numFmtId="3" fontId="0" fillId="0" borderId="66" xfId="0" applyNumberFormat="1" applyFont="1" applyBorder="1" applyAlignment="1">
      <alignment/>
    </xf>
    <xf numFmtId="0" fontId="0" fillId="0" borderId="0" xfId="0" applyFont="1" applyBorder="1" applyAlignment="1">
      <alignment horizontal="right"/>
    </xf>
    <xf numFmtId="181" fontId="0" fillId="0" borderId="0" xfId="0" applyNumberFormat="1" applyFont="1" applyFill="1" applyBorder="1" applyAlignment="1">
      <alignment/>
    </xf>
    <xf numFmtId="191" fontId="0" fillId="0" borderId="55" xfId="0" applyNumberFormat="1" applyFont="1" applyFill="1" applyBorder="1" applyAlignment="1" applyProtection="1">
      <alignment horizontal="center"/>
      <protection locked="0"/>
    </xf>
    <xf numFmtId="0" fontId="0" fillId="0" borderId="0" xfId="0" applyFont="1" applyFill="1" applyBorder="1" applyAlignment="1">
      <alignment horizontal="center"/>
    </xf>
    <xf numFmtId="0" fontId="0" fillId="0" borderId="30" xfId="0" applyFont="1" applyFill="1" applyBorder="1" applyAlignment="1">
      <alignment horizontal="center"/>
    </xf>
    <xf numFmtId="0" fontId="0" fillId="0" borderId="38" xfId="0" applyFont="1" applyFill="1" applyBorder="1" applyAlignment="1">
      <alignment horizontal="center"/>
    </xf>
    <xf numFmtId="0" fontId="0" fillId="0" borderId="29" xfId="0" applyFont="1" applyFill="1" applyBorder="1" applyAlignment="1">
      <alignment horizontal="center"/>
    </xf>
    <xf numFmtId="0" fontId="0" fillId="0" borderId="66" xfId="0" applyFont="1" applyFill="1" applyBorder="1" applyAlignment="1">
      <alignment horizontal="center"/>
    </xf>
    <xf numFmtId="181" fontId="0" fillId="0" borderId="0" xfId="0" applyNumberFormat="1" applyFont="1" applyBorder="1" applyAlignment="1" quotePrefix="1">
      <alignment horizontal="right"/>
    </xf>
    <xf numFmtId="3" fontId="0" fillId="0" borderId="1" xfId="0" applyNumberFormat="1" applyBorder="1" applyAlignment="1">
      <alignment horizontal="right"/>
    </xf>
    <xf numFmtId="0" fontId="0" fillId="0" borderId="0" xfId="0" applyFont="1" applyAlignment="1">
      <alignment/>
    </xf>
    <xf numFmtId="3" fontId="36" fillId="0" borderId="0" xfId="0" applyNumberFormat="1" applyFont="1" applyBorder="1" applyAlignment="1">
      <alignment horizontal="right"/>
    </xf>
    <xf numFmtId="3" fontId="0" fillId="0" borderId="0" xfId="0" applyNumberFormat="1" applyBorder="1" applyAlignment="1">
      <alignment horizontal="right"/>
    </xf>
    <xf numFmtId="0" fontId="1" fillId="0" borderId="0" xfId="0" applyFont="1" applyBorder="1" applyAlignment="1">
      <alignment horizontal="left"/>
    </xf>
    <xf numFmtId="0" fontId="5" fillId="0" borderId="0" xfId="0" applyFont="1" applyAlignment="1">
      <alignment/>
    </xf>
    <xf numFmtId="0" fontId="1" fillId="0" borderId="6" xfId="20" applyFont="1" applyFill="1" applyBorder="1" applyAlignment="1" applyProtection="1">
      <alignment horizontal="center" vertical="center"/>
      <protection locked="0"/>
    </xf>
    <xf numFmtId="3" fontId="0" fillId="0" borderId="72" xfId="17" applyNumberFormat="1" applyFont="1" applyBorder="1" applyAlignment="1">
      <alignment horizontal="center"/>
    </xf>
    <xf numFmtId="3" fontId="0" fillId="0" borderId="73" xfId="17" applyNumberFormat="1" applyFont="1" applyBorder="1" applyAlignment="1">
      <alignment horizontal="center"/>
    </xf>
    <xf numFmtId="0" fontId="0" fillId="0" borderId="26" xfId="0" applyFont="1" applyFill="1" applyBorder="1" applyAlignment="1">
      <alignment horizontal="right"/>
    </xf>
    <xf numFmtId="0" fontId="0" fillId="0" borderId="32" xfId="0" applyFont="1" applyFill="1" applyBorder="1" applyAlignment="1">
      <alignment horizontal="right"/>
    </xf>
    <xf numFmtId="0" fontId="0" fillId="0" borderId="29" xfId="0" applyNumberFormat="1" applyFont="1" applyBorder="1" applyAlignment="1">
      <alignment horizontal="center"/>
    </xf>
    <xf numFmtId="2" fontId="0" fillId="0" borderId="29" xfId="0" applyNumberFormat="1" applyBorder="1" applyAlignment="1">
      <alignment horizontal="right"/>
    </xf>
    <xf numFmtId="2" fontId="0" fillId="0" borderId="32" xfId="0" applyNumberFormat="1" applyBorder="1" applyAlignment="1">
      <alignment horizontal="right"/>
    </xf>
    <xf numFmtId="2" fontId="0" fillId="0" borderId="46" xfId="0" applyNumberFormat="1" applyBorder="1" applyAlignment="1">
      <alignment horizontal="right"/>
    </xf>
    <xf numFmtId="181" fontId="0" fillId="0" borderId="38" xfId="0" applyNumberFormat="1" applyBorder="1" applyAlignment="1">
      <alignment horizontal="center"/>
    </xf>
    <xf numFmtId="181" fontId="0" fillId="0" borderId="39" xfId="0" applyNumberFormat="1" applyBorder="1" applyAlignment="1">
      <alignment horizontal="center"/>
    </xf>
    <xf numFmtId="181" fontId="0" fillId="0" borderId="15" xfId="0" applyNumberFormat="1" applyBorder="1" applyAlignment="1">
      <alignment horizontal="center"/>
    </xf>
    <xf numFmtId="0" fontId="0" fillId="0" borderId="46" xfId="0" applyFont="1" applyBorder="1" applyAlignment="1">
      <alignment horizontal="center"/>
    </xf>
    <xf numFmtId="0" fontId="0" fillId="0" borderId="6" xfId="0" applyFill="1" applyBorder="1" applyAlignment="1">
      <alignment/>
    </xf>
    <xf numFmtId="0" fontId="1" fillId="4" borderId="3" xfId="0" applyFont="1" applyFill="1" applyBorder="1" applyAlignment="1" applyProtection="1">
      <alignment horizontal="centerContinuous"/>
      <protection locked="0"/>
    </xf>
    <xf numFmtId="0" fontId="1" fillId="4" borderId="0" xfId="0" applyFont="1" applyFill="1" applyBorder="1" applyAlignment="1" applyProtection="1">
      <alignment horizontal="centerContinuous"/>
      <protection locked="0"/>
    </xf>
    <xf numFmtId="0" fontId="1" fillId="4" borderId="4" xfId="0" applyFont="1" applyFill="1" applyBorder="1" applyAlignment="1" applyProtection="1">
      <alignment horizontal="centerContinuous"/>
      <protection locked="0"/>
    </xf>
    <xf numFmtId="181" fontId="0" fillId="0" borderId="0" xfId="0" applyNumberFormat="1" applyFont="1" applyBorder="1" applyAlignment="1">
      <alignment horizontal="center"/>
    </xf>
    <xf numFmtId="0" fontId="1" fillId="0" borderId="0" xfId="0" applyFont="1" applyFill="1" applyBorder="1" applyAlignment="1">
      <alignment horizontal="center"/>
    </xf>
    <xf numFmtId="0" fontId="0" fillId="0" borderId="29" xfId="0" applyFont="1" applyFill="1" applyBorder="1" applyAlignment="1">
      <alignment horizontal="right"/>
    </xf>
    <xf numFmtId="0" fontId="0" fillId="0" borderId="0" xfId="0" applyFill="1" applyAlignment="1">
      <alignment/>
    </xf>
    <xf numFmtId="181" fontId="0" fillId="0" borderId="30" xfId="0" applyNumberFormat="1" applyFont="1" applyFill="1" applyBorder="1" applyAlignment="1">
      <alignment horizontal="center"/>
    </xf>
    <xf numFmtId="181" fontId="0" fillId="0" borderId="38" xfId="0" applyNumberFormat="1" applyFont="1" applyFill="1" applyBorder="1" applyAlignment="1">
      <alignment horizontal="center"/>
    </xf>
    <xf numFmtId="181" fontId="0" fillId="0" borderId="29" xfId="0" applyNumberFormat="1" applyFont="1" applyFill="1" applyBorder="1" applyAlignment="1">
      <alignment horizontal="center"/>
    </xf>
    <xf numFmtId="181" fontId="0" fillId="0" borderId="38" xfId="0" applyNumberFormat="1" applyFont="1" applyFill="1" applyBorder="1" applyAlignment="1">
      <alignment horizontal="center"/>
    </xf>
    <xf numFmtId="181" fontId="0" fillId="0" borderId="33" xfId="0" applyNumberFormat="1" applyFont="1" applyFill="1" applyBorder="1" applyAlignment="1">
      <alignment horizontal="center"/>
    </xf>
    <xf numFmtId="181" fontId="0" fillId="0" borderId="39" xfId="0" applyNumberFormat="1" applyFont="1" applyFill="1" applyBorder="1" applyAlignment="1">
      <alignment horizontal="center"/>
    </xf>
    <xf numFmtId="181" fontId="0" fillId="0" borderId="32" xfId="0" applyNumberFormat="1" applyFont="1" applyFill="1" applyBorder="1" applyAlignment="1">
      <alignment horizontal="center"/>
    </xf>
    <xf numFmtId="181" fontId="0" fillId="0" borderId="39" xfId="0" applyNumberFormat="1" applyFont="1" applyFill="1" applyBorder="1" applyAlignment="1">
      <alignment horizontal="center"/>
    </xf>
    <xf numFmtId="0" fontId="1" fillId="4" borderId="32" xfId="0" applyFont="1" applyFill="1" applyBorder="1" applyAlignment="1">
      <alignment/>
    </xf>
    <xf numFmtId="0" fontId="1" fillId="4" borderId="26" xfId="0" applyFont="1" applyFill="1" applyBorder="1" applyAlignment="1">
      <alignment/>
    </xf>
    <xf numFmtId="0" fontId="0" fillId="4" borderId="27" xfId="0" applyFont="1" applyFill="1" applyBorder="1" applyAlignment="1">
      <alignment/>
    </xf>
    <xf numFmtId="181" fontId="0" fillId="0" borderId="48" xfId="0" applyNumberFormat="1" applyFont="1" applyBorder="1" applyAlignment="1">
      <alignment horizontal="center" vertical="center" textRotation="90"/>
    </xf>
    <xf numFmtId="181" fontId="0" fillId="0" borderId="12" xfId="0" applyNumberFormat="1" applyFont="1" applyBorder="1" applyAlignment="1">
      <alignment horizontal="center" vertical="center" textRotation="90"/>
    </xf>
    <xf numFmtId="0" fontId="25" fillId="7" borderId="0" xfId="0" applyFont="1" applyFill="1" applyAlignment="1">
      <alignment horizontal="left" wrapText="1"/>
    </xf>
    <xf numFmtId="0" fontId="1" fillId="0" borderId="0" xfId="0" applyFont="1" applyFill="1" applyBorder="1" applyAlignment="1">
      <alignment horizontal="right" vertical="center"/>
    </xf>
    <xf numFmtId="0" fontId="14" fillId="0" borderId="2" xfId="0" applyFont="1" applyFill="1" applyBorder="1" applyAlignment="1">
      <alignment horizontal="left" vertical="center"/>
    </xf>
    <xf numFmtId="0" fontId="1" fillId="0" borderId="4" xfId="0" applyFont="1" applyFill="1" applyBorder="1" applyAlignment="1">
      <alignment horizontal="right" vertical="center"/>
    </xf>
    <xf numFmtId="0" fontId="1" fillId="0" borderId="74" xfId="0" applyFont="1" applyFill="1" applyBorder="1" applyAlignment="1">
      <alignment horizontal="right" vertical="center"/>
    </xf>
    <xf numFmtId="0" fontId="1" fillId="7" borderId="10" xfId="0" applyFont="1" applyFill="1" applyBorder="1" applyAlignment="1">
      <alignment vertical="center"/>
    </xf>
    <xf numFmtId="0" fontId="1" fillId="7" borderId="12" xfId="0" applyFont="1" applyFill="1" applyBorder="1" applyAlignment="1">
      <alignment vertical="center"/>
    </xf>
    <xf numFmtId="0" fontId="1" fillId="7" borderId="14" xfId="0" applyFont="1" applyFill="1" applyBorder="1" applyAlignment="1">
      <alignment vertical="center"/>
    </xf>
    <xf numFmtId="0" fontId="1" fillId="0" borderId="35" xfId="0" applyFont="1" applyFill="1" applyBorder="1" applyAlignment="1">
      <alignment horizontal="right" vertical="center"/>
    </xf>
    <xf numFmtId="0" fontId="1" fillId="0" borderId="36" xfId="0" applyFont="1" applyFill="1" applyBorder="1" applyAlignment="1">
      <alignment horizontal="right" vertical="center"/>
    </xf>
    <xf numFmtId="6" fontId="11" fillId="7" borderId="62" xfId="20" applyNumberFormat="1" applyFont="1" applyFill="1" applyBorder="1" applyAlignment="1" applyProtection="1">
      <alignment horizontal="center"/>
      <protection locked="0"/>
    </xf>
    <xf numFmtId="6" fontId="11" fillId="7" borderId="38" xfId="20" applyNumberFormat="1" applyFont="1" applyFill="1" applyBorder="1" applyAlignment="1" applyProtection="1">
      <alignment horizontal="center"/>
      <protection locked="0"/>
    </xf>
    <xf numFmtId="6" fontId="11" fillId="7" borderId="29" xfId="20" applyNumberFormat="1" applyFont="1" applyFill="1" applyBorder="1" applyAlignment="1" applyProtection="1">
      <alignment horizontal="center"/>
      <protection locked="0"/>
    </xf>
    <xf numFmtId="1" fontId="11" fillId="7" borderId="62" xfId="20" applyNumberFormat="1" applyFont="1" applyFill="1" applyBorder="1" applyAlignment="1" applyProtection="1">
      <alignment horizontal="center"/>
      <protection locked="0"/>
    </xf>
    <xf numFmtId="1" fontId="11" fillId="7" borderId="38" xfId="20" applyNumberFormat="1" applyFont="1" applyFill="1" applyBorder="1" applyAlignment="1" applyProtection="1">
      <alignment horizontal="center"/>
      <protection locked="0"/>
    </xf>
    <xf numFmtId="1" fontId="11" fillId="7" borderId="29" xfId="20" applyNumberFormat="1" applyFont="1" applyFill="1" applyBorder="1" applyAlignment="1" applyProtection="1">
      <alignment horizontal="center"/>
      <protection locked="0"/>
    </xf>
    <xf numFmtId="171" fontId="11" fillId="7" borderId="62" xfId="20" applyNumberFormat="1" applyFont="1" applyFill="1" applyBorder="1" applyAlignment="1" applyProtection="1">
      <alignment horizontal="center"/>
      <protection locked="0"/>
    </xf>
    <xf numFmtId="171" fontId="11" fillId="7" borderId="38" xfId="20" applyNumberFormat="1" applyFont="1" applyFill="1" applyBorder="1" applyAlignment="1" applyProtection="1">
      <alignment horizontal="center"/>
      <protection locked="0"/>
    </xf>
    <xf numFmtId="171" fontId="11" fillId="7" borderId="29" xfId="20" applyNumberFormat="1" applyFont="1" applyFill="1" applyBorder="1" applyAlignment="1" applyProtection="1">
      <alignment horizontal="center"/>
      <protection locked="0"/>
    </xf>
    <xf numFmtId="1" fontId="11" fillId="7" borderId="62" xfId="0" applyNumberFormat="1" applyFont="1" applyFill="1" applyBorder="1" applyAlignment="1" applyProtection="1">
      <alignment horizontal="center"/>
      <protection locked="0"/>
    </xf>
    <xf numFmtId="1" fontId="11" fillId="7" borderId="38" xfId="0" applyNumberFormat="1" applyFont="1" applyFill="1" applyBorder="1" applyAlignment="1" applyProtection="1">
      <alignment horizontal="center"/>
      <protection locked="0"/>
    </xf>
    <xf numFmtId="1" fontId="11" fillId="7" borderId="29" xfId="0" applyNumberFormat="1" applyFont="1" applyFill="1" applyBorder="1" applyAlignment="1" applyProtection="1">
      <alignment horizontal="center"/>
      <protection locked="0"/>
    </xf>
    <xf numFmtId="180" fontId="11" fillId="7" borderId="62" xfId="0" applyNumberFormat="1" applyFont="1" applyFill="1" applyBorder="1" applyAlignment="1" applyProtection="1">
      <alignment horizontal="center"/>
      <protection locked="0"/>
    </xf>
    <xf numFmtId="180" fontId="11" fillId="7" borderId="38" xfId="0" applyNumberFormat="1" applyFont="1" applyFill="1" applyBorder="1" applyAlignment="1" applyProtection="1">
      <alignment horizontal="center"/>
      <protection locked="0"/>
    </xf>
    <xf numFmtId="180" fontId="11" fillId="7" borderId="29" xfId="0" applyNumberFormat="1" applyFont="1" applyFill="1" applyBorder="1" applyAlignment="1" applyProtection="1">
      <alignment horizontal="center"/>
      <protection locked="0"/>
    </xf>
    <xf numFmtId="189" fontId="11" fillId="7" borderId="62" xfId="0" applyNumberFormat="1" applyFont="1" applyFill="1" applyBorder="1" applyAlignment="1" applyProtection="1">
      <alignment horizontal="center"/>
      <protection locked="0"/>
    </xf>
    <xf numFmtId="189" fontId="11" fillId="7" borderId="38" xfId="0" applyNumberFormat="1" applyFont="1" applyFill="1" applyBorder="1" applyAlignment="1" applyProtection="1">
      <alignment horizontal="center"/>
      <protection locked="0"/>
    </xf>
    <xf numFmtId="189" fontId="11" fillId="7" borderId="29" xfId="0" applyNumberFormat="1" applyFont="1" applyFill="1" applyBorder="1" applyAlignment="1" applyProtection="1">
      <alignment horizontal="center"/>
      <protection locked="0"/>
    </xf>
    <xf numFmtId="1" fontId="11" fillId="7" borderId="62" xfId="21" applyNumberFormat="1" applyFont="1" applyFill="1" applyBorder="1" applyAlignment="1" applyProtection="1">
      <alignment horizontal="center"/>
      <protection locked="0"/>
    </xf>
    <xf numFmtId="1" fontId="11" fillId="7" borderId="38" xfId="21" applyNumberFormat="1" applyFont="1" applyFill="1" applyBorder="1" applyAlignment="1" applyProtection="1">
      <alignment horizontal="center"/>
      <protection locked="0"/>
    </xf>
    <xf numFmtId="1" fontId="11" fillId="7" borderId="29" xfId="21" applyNumberFormat="1" applyFont="1" applyFill="1" applyBorder="1" applyAlignment="1" applyProtection="1">
      <alignment horizontal="center"/>
      <protection locked="0"/>
    </xf>
    <xf numFmtId="189" fontId="11" fillId="7" borderId="62" xfId="20" applyNumberFormat="1" applyFont="1" applyFill="1" applyBorder="1" applyAlignment="1" applyProtection="1">
      <alignment horizontal="center"/>
      <protection locked="0"/>
    </xf>
    <xf numFmtId="189" fontId="11" fillId="7" borderId="38" xfId="20" applyNumberFormat="1" applyFont="1" applyFill="1" applyBorder="1" applyAlignment="1" applyProtection="1">
      <alignment horizontal="center"/>
      <protection locked="0"/>
    </xf>
    <xf numFmtId="189" fontId="11" fillId="7" borderId="29" xfId="20" applyNumberFormat="1" applyFont="1" applyFill="1" applyBorder="1" applyAlignment="1" applyProtection="1">
      <alignment horizontal="center"/>
      <protection locked="0"/>
    </xf>
    <xf numFmtId="8" fontId="11" fillId="7" borderId="62" xfId="20" applyNumberFormat="1" applyFont="1" applyFill="1" applyBorder="1" applyAlignment="1" applyProtection="1">
      <alignment horizontal="center"/>
      <protection locked="0"/>
    </xf>
    <xf numFmtId="8" fontId="11" fillId="7" borderId="30" xfId="20" applyNumberFormat="1" applyFont="1" applyFill="1" applyBorder="1" applyAlignment="1" applyProtection="1">
      <alignment horizontal="center"/>
      <protection locked="0"/>
    </xf>
    <xf numFmtId="8" fontId="11" fillId="7" borderId="29" xfId="20" applyNumberFormat="1" applyFont="1" applyFill="1" applyBorder="1" applyAlignment="1" applyProtection="1">
      <alignment horizontal="center"/>
      <protection locked="0"/>
    </xf>
    <xf numFmtId="8" fontId="11" fillId="7" borderId="38" xfId="20" applyNumberFormat="1" applyFont="1" applyFill="1" applyBorder="1" applyAlignment="1" applyProtection="1">
      <alignment horizontal="center"/>
      <protection locked="0"/>
    </xf>
    <xf numFmtId="0" fontId="1" fillId="0" borderId="75" xfId="0" applyFont="1" applyFill="1" applyBorder="1" applyAlignment="1">
      <alignment horizontal="right" vertical="center"/>
    </xf>
    <xf numFmtId="0" fontId="1" fillId="0" borderId="37" xfId="0" applyFont="1" applyFill="1" applyBorder="1" applyAlignment="1">
      <alignment horizontal="right" vertical="center"/>
    </xf>
    <xf numFmtId="8" fontId="11" fillId="7" borderId="32" xfId="20" applyNumberFormat="1" applyFont="1" applyFill="1" applyBorder="1" applyAlignment="1" applyProtection="1">
      <alignment horizontal="center"/>
      <protection locked="0"/>
    </xf>
    <xf numFmtId="8" fontId="11" fillId="7" borderId="39" xfId="20" applyNumberFormat="1" applyFont="1" applyFill="1" applyBorder="1" applyAlignment="1" applyProtection="1">
      <alignment horizontal="center"/>
      <protection locked="0"/>
    </xf>
    <xf numFmtId="0" fontId="1" fillId="4" borderId="14" xfId="0" applyFont="1" applyFill="1" applyBorder="1" applyAlignment="1">
      <alignment horizontal="left" wrapText="1"/>
    </xf>
    <xf numFmtId="0" fontId="1" fillId="2" borderId="12" xfId="0" applyFont="1" applyFill="1" applyBorder="1" applyAlignment="1">
      <alignment horizontal="left" wrapText="1"/>
    </xf>
    <xf numFmtId="0" fontId="1" fillId="4" borderId="14" xfId="0" applyFont="1" applyFill="1" applyBorder="1" applyAlignment="1">
      <alignment horizontal="centerContinuous" wrapText="1"/>
    </xf>
    <xf numFmtId="0" fontId="1" fillId="4" borderId="26"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171" fontId="1" fillId="4" borderId="29" xfId="0" applyNumberFormat="1" applyFont="1" applyFill="1" applyBorder="1" applyAlignment="1">
      <alignment horizontal="center"/>
    </xf>
    <xf numFmtId="171" fontId="1" fillId="2" borderId="38" xfId="0" applyNumberFormat="1" applyFont="1" applyFill="1" applyBorder="1" applyAlignment="1">
      <alignment horizontal="center"/>
    </xf>
    <xf numFmtId="5" fontId="1" fillId="4" borderId="29" xfId="17" applyNumberFormat="1" applyFont="1" applyFill="1" applyBorder="1" applyAlignment="1" applyProtection="1">
      <alignment horizontal="center"/>
      <protection locked="0"/>
    </xf>
    <xf numFmtId="5" fontId="1" fillId="2" borderId="38" xfId="17" applyNumberFormat="1" applyFont="1" applyFill="1" applyBorder="1" applyAlignment="1" applyProtection="1">
      <alignment horizontal="center"/>
      <protection locked="0"/>
    </xf>
    <xf numFmtId="5" fontId="1" fillId="4" borderId="32" xfId="0" applyNumberFormat="1" applyFont="1" applyFill="1" applyBorder="1" applyAlignment="1">
      <alignment horizontal="center"/>
    </xf>
    <xf numFmtId="5" fontId="1" fillId="2" borderId="39" xfId="0" applyNumberFormat="1" applyFont="1" applyFill="1" applyBorder="1" applyAlignment="1">
      <alignment horizontal="center"/>
    </xf>
    <xf numFmtId="0" fontId="1" fillId="4" borderId="2" xfId="0" applyFont="1" applyFill="1" applyBorder="1" applyAlignment="1">
      <alignment horizontal="left" vertical="center"/>
    </xf>
    <xf numFmtId="0" fontId="1" fillId="0" borderId="35" xfId="0" applyFont="1" applyBorder="1" applyAlignment="1">
      <alignment horizontal="right" vertical="center"/>
    </xf>
    <xf numFmtId="6" fontId="11" fillId="0" borderId="49" xfId="20" applyNumberFormat="1" applyFont="1" applyBorder="1" applyAlignment="1" applyProtection="1">
      <alignment horizontal="centerContinuous"/>
      <protection locked="0"/>
    </xf>
    <xf numFmtId="0" fontId="1" fillId="0" borderId="36" xfId="0" applyFont="1" applyBorder="1" applyAlignment="1">
      <alignment horizontal="centerContinuous"/>
    </xf>
    <xf numFmtId="3" fontId="11" fillId="0" borderId="49" xfId="20" applyNumberFormat="1" applyFont="1" applyBorder="1" applyAlignment="1" applyProtection="1">
      <alignment horizontal="centerContinuous"/>
      <protection locked="0"/>
    </xf>
    <xf numFmtId="0" fontId="1" fillId="0" borderId="37" xfId="0" applyFont="1" applyBorder="1" applyAlignment="1">
      <alignment horizontal="centerContinuous"/>
    </xf>
    <xf numFmtId="0" fontId="1" fillId="0" borderId="74" xfId="0" applyFont="1" applyBorder="1" applyAlignment="1">
      <alignment horizontal="right" vertical="center"/>
    </xf>
    <xf numFmtId="6" fontId="11" fillId="0" borderId="54" xfId="20" applyNumberFormat="1" applyFont="1" applyBorder="1" applyAlignment="1" applyProtection="1">
      <alignment horizontal="centerContinuous"/>
      <protection locked="0"/>
    </xf>
    <xf numFmtId="6" fontId="11" fillId="0" borderId="34" xfId="20" applyNumberFormat="1" applyFont="1" applyBorder="1" applyAlignment="1" applyProtection="1">
      <alignment horizontal="centerContinuous"/>
      <protection locked="0"/>
    </xf>
    <xf numFmtId="6" fontId="11" fillId="0" borderId="36" xfId="20" applyNumberFormat="1" applyFont="1" applyBorder="1" applyAlignment="1" applyProtection="1">
      <alignment horizontal="centerContinuous"/>
      <protection locked="0"/>
    </xf>
    <xf numFmtId="1" fontId="11" fillId="0" borderId="49" xfId="20" applyNumberFormat="1" applyFont="1" applyBorder="1" applyAlignment="1" applyProtection="1">
      <alignment horizontal="centerContinuous"/>
      <protection locked="0"/>
    </xf>
    <xf numFmtId="1" fontId="11" fillId="0" borderId="36" xfId="20" applyNumberFormat="1" applyFont="1" applyBorder="1" applyAlignment="1" applyProtection="1">
      <alignment horizontal="centerContinuous"/>
      <protection locked="0"/>
    </xf>
    <xf numFmtId="171" fontId="11" fillId="0" borderId="49" xfId="20" applyNumberFormat="1" applyFont="1" applyBorder="1" applyAlignment="1" applyProtection="1">
      <alignment horizontal="centerContinuous"/>
      <protection locked="0"/>
    </xf>
    <xf numFmtId="171" fontId="11" fillId="0" borderId="36" xfId="20" applyNumberFormat="1" applyFont="1" applyBorder="1" applyAlignment="1" applyProtection="1">
      <alignment horizontal="centerContinuous"/>
      <protection locked="0"/>
    </xf>
    <xf numFmtId="0" fontId="1" fillId="0" borderId="35" xfId="0" applyFont="1" applyBorder="1" applyAlignment="1">
      <alignment horizontal="right"/>
    </xf>
    <xf numFmtId="3" fontId="11" fillId="0" borderId="49" xfId="0" applyNumberFormat="1" applyFont="1" applyBorder="1" applyAlignment="1" applyProtection="1">
      <alignment horizontal="centerContinuous"/>
      <protection locked="0"/>
    </xf>
    <xf numFmtId="1" fontId="11" fillId="0" borderId="36" xfId="0" applyNumberFormat="1" applyFont="1" applyBorder="1" applyAlignment="1" applyProtection="1">
      <alignment horizontal="centerContinuous"/>
      <protection locked="0"/>
    </xf>
    <xf numFmtId="180" fontId="11" fillId="0" borderId="49" xfId="0" applyNumberFormat="1" applyFont="1" applyBorder="1" applyAlignment="1" applyProtection="1">
      <alignment horizontal="centerContinuous"/>
      <protection locked="0"/>
    </xf>
    <xf numFmtId="180" fontId="11" fillId="0" borderId="36" xfId="0" applyNumberFormat="1" applyFont="1" applyBorder="1" applyAlignment="1" applyProtection="1">
      <alignment horizontal="centerContinuous"/>
      <protection locked="0"/>
    </xf>
    <xf numFmtId="189" fontId="11" fillId="0" borderId="49" xfId="0" applyNumberFormat="1" applyFont="1" applyBorder="1" applyAlignment="1" applyProtection="1">
      <alignment horizontal="centerContinuous"/>
      <protection locked="0"/>
    </xf>
    <xf numFmtId="189" fontId="11" fillId="0" borderId="36" xfId="0" applyNumberFormat="1" applyFont="1" applyBorder="1" applyAlignment="1" applyProtection="1">
      <alignment horizontal="centerContinuous"/>
      <protection locked="0"/>
    </xf>
    <xf numFmtId="1" fontId="11" fillId="0" borderId="36" xfId="21" applyNumberFormat="1" applyFont="1" applyBorder="1" applyAlignment="1" applyProtection="1">
      <alignment horizontal="centerContinuous"/>
      <protection locked="0"/>
    </xf>
    <xf numFmtId="189" fontId="11" fillId="0" borderId="49" xfId="20" applyNumberFormat="1" applyFont="1" applyBorder="1" applyAlignment="1" applyProtection="1">
      <alignment horizontal="centerContinuous"/>
      <protection locked="0"/>
    </xf>
    <xf numFmtId="189" fontId="11" fillId="0" borderId="36" xfId="20" applyNumberFormat="1" applyFont="1" applyBorder="1" applyAlignment="1" applyProtection="1">
      <alignment horizontal="centerContinuous"/>
      <protection locked="0"/>
    </xf>
    <xf numFmtId="184" fontId="11" fillId="0" borderId="49" xfId="20" applyNumberFormat="1" applyFont="1" applyBorder="1" applyAlignment="1" applyProtection="1">
      <alignment horizontal="centerContinuous"/>
      <protection locked="0"/>
    </xf>
    <xf numFmtId="184" fontId="11" fillId="0" borderId="36" xfId="20" applyNumberFormat="1" applyFont="1" applyBorder="1" applyAlignment="1" applyProtection="1">
      <alignment horizontal="centerContinuous"/>
      <protection locked="0"/>
    </xf>
    <xf numFmtId="0" fontId="1" fillId="0" borderId="75" xfId="0" applyFont="1" applyBorder="1" applyAlignment="1">
      <alignment horizontal="right"/>
    </xf>
    <xf numFmtId="184" fontId="11" fillId="0" borderId="55" xfId="20" applyNumberFormat="1" applyFont="1" applyBorder="1" applyAlignment="1" applyProtection="1">
      <alignment horizontal="centerContinuous"/>
      <protection locked="0"/>
    </xf>
    <xf numFmtId="184" fontId="11" fillId="0" borderId="37" xfId="20" applyNumberFormat="1" applyFont="1" applyBorder="1" applyAlignment="1" applyProtection="1">
      <alignment horizontal="centerContinuous"/>
      <protection locked="0"/>
    </xf>
    <xf numFmtId="0" fontId="0" fillId="4" borderId="12" xfId="0" applyFont="1" applyFill="1" applyBorder="1" applyAlignment="1">
      <alignment horizontal="centerContinuous"/>
    </xf>
    <xf numFmtId="0" fontId="1" fillId="0" borderId="1" xfId="0" applyFont="1" applyBorder="1" applyAlignment="1">
      <alignment horizontal="right" vertical="center"/>
    </xf>
    <xf numFmtId="0" fontId="1" fillId="0" borderId="54" xfId="0" applyFont="1" applyFill="1" applyBorder="1" applyAlignment="1" applyProtection="1">
      <alignment horizontal="centerContinuous"/>
      <protection locked="0"/>
    </xf>
    <xf numFmtId="0" fontId="1" fillId="0" borderId="34" xfId="0" applyFont="1" applyBorder="1" applyAlignment="1">
      <alignment horizontal="centerContinuous"/>
    </xf>
    <xf numFmtId="171" fontId="1" fillId="0" borderId="49" xfId="0" applyNumberFormat="1" applyFont="1" applyBorder="1" applyAlignment="1">
      <alignment horizontal="centerContinuous"/>
    </xf>
    <xf numFmtId="5" fontId="1" fillId="0" borderId="49" xfId="17" applyNumberFormat="1" applyFont="1" applyFill="1" applyBorder="1" applyAlignment="1" applyProtection="1">
      <alignment horizontal="centerContinuous"/>
      <protection locked="0"/>
    </xf>
    <xf numFmtId="0" fontId="1" fillId="0" borderId="71" xfId="0" applyFont="1" applyBorder="1" applyAlignment="1">
      <alignment horizontal="right" vertical="center"/>
    </xf>
    <xf numFmtId="5" fontId="1" fillId="0" borderId="55" xfId="0" applyNumberFormat="1" applyFont="1" applyBorder="1" applyAlignment="1">
      <alignment horizontal="centerContinuous"/>
    </xf>
    <xf numFmtId="0" fontId="0" fillId="0" borderId="0" xfId="0" applyFont="1" applyBorder="1" applyAlignment="1">
      <alignment horizontal="left"/>
    </xf>
    <xf numFmtId="0" fontId="1" fillId="4" borderId="0" xfId="0" applyFont="1" applyFill="1" applyBorder="1" applyAlignment="1">
      <alignment horizontal="right" vertical="center"/>
    </xf>
    <xf numFmtId="0" fontId="1" fillId="4" borderId="4" xfId="0" applyFont="1" applyFill="1" applyBorder="1" applyAlignment="1">
      <alignment horizontal="right" vertical="center"/>
    </xf>
    <xf numFmtId="0" fontId="1" fillId="4" borderId="62" xfId="0" applyFont="1" applyFill="1" applyBorder="1" applyAlignment="1">
      <alignment horizontal="left"/>
    </xf>
    <xf numFmtId="0" fontId="1" fillId="4" borderId="49" xfId="0" applyFont="1" applyFill="1" applyBorder="1" applyAlignment="1">
      <alignment horizontal="left"/>
    </xf>
    <xf numFmtId="181" fontId="1" fillId="4" borderId="38" xfId="0" applyNumberFormat="1" applyFont="1" applyFill="1" applyBorder="1" applyAlignment="1">
      <alignment horizontal="center"/>
    </xf>
    <xf numFmtId="181" fontId="1" fillId="4" borderId="76" xfId="0" applyNumberFormat="1" applyFont="1" applyFill="1" applyBorder="1" applyAlignment="1">
      <alignment horizontal="center"/>
    </xf>
    <xf numFmtId="181" fontId="1" fillId="4" borderId="39" xfId="0" applyNumberFormat="1" applyFont="1" applyFill="1" applyBorder="1" applyAlignment="1">
      <alignment horizontal="center"/>
    </xf>
    <xf numFmtId="0" fontId="12" fillId="0" borderId="0" xfId="0" applyFont="1" applyAlignment="1">
      <alignment horizontal="center"/>
    </xf>
    <xf numFmtId="0" fontId="0" fillId="0" borderId="73" xfId="0" applyBorder="1" applyAlignment="1">
      <alignment horizontal="right"/>
    </xf>
    <xf numFmtId="0" fontId="0" fillId="0" borderId="73" xfId="0" applyFont="1" applyBorder="1" applyAlignment="1">
      <alignment/>
    </xf>
    <xf numFmtId="0" fontId="0" fillId="0" borderId="66" xfId="0" applyFont="1" applyBorder="1" applyAlignment="1">
      <alignment horizontal="right"/>
    </xf>
    <xf numFmtId="0" fontId="0" fillId="0" borderId="48" xfId="0" applyFont="1" applyBorder="1" applyAlignment="1">
      <alignment horizontal="center"/>
    </xf>
    <xf numFmtId="0" fontId="0" fillId="0" borderId="59" xfId="0" applyFont="1" applyBorder="1" applyAlignment="1">
      <alignment horizontal="center"/>
    </xf>
    <xf numFmtId="0" fontId="0" fillId="0" borderId="77" xfId="0" applyFont="1" applyBorder="1" applyAlignment="1">
      <alignment horizontal="center"/>
    </xf>
    <xf numFmtId="0" fontId="0" fillId="4" borderId="37" xfId="0" applyFont="1" applyFill="1" applyBorder="1" applyAlignment="1">
      <alignment horizontal="center"/>
    </xf>
    <xf numFmtId="0" fontId="0" fillId="4" borderId="36" xfId="0" applyFont="1" applyFill="1" applyBorder="1" applyAlignment="1">
      <alignment horizontal="center"/>
    </xf>
    <xf numFmtId="0" fontId="0" fillId="0" borderId="62" xfId="0" applyFont="1" applyFill="1" applyBorder="1" applyAlignment="1">
      <alignment horizontal="center"/>
    </xf>
    <xf numFmtId="0" fontId="0" fillId="4" borderId="34" xfId="0" applyFont="1" applyFill="1" applyBorder="1" applyAlignment="1">
      <alignment horizontal="center"/>
    </xf>
    <xf numFmtId="9" fontId="1" fillId="4" borderId="20" xfId="21" applyNumberFormat="1" applyFont="1" applyFill="1" applyBorder="1" applyAlignment="1">
      <alignment horizontal="center"/>
    </xf>
    <xf numFmtId="0" fontId="0" fillId="0" borderId="26" xfId="0" applyFont="1" applyBorder="1" applyAlignment="1">
      <alignment horizontal="right"/>
    </xf>
    <xf numFmtId="0" fontId="0" fillId="4" borderId="38" xfId="0" applyFont="1" applyFill="1" applyBorder="1" applyAlignment="1">
      <alignment horizontal="center"/>
    </xf>
    <xf numFmtId="0" fontId="0" fillId="0" borderId="49" xfId="0" applyFont="1" applyBorder="1" applyAlignment="1">
      <alignment horizontal="right"/>
    </xf>
    <xf numFmtId="0" fontId="0" fillId="4" borderId="69" xfId="0" applyFont="1" applyFill="1" applyBorder="1" applyAlignment="1">
      <alignment horizontal="left"/>
    </xf>
    <xf numFmtId="0" fontId="0" fillId="0" borderId="32" xfId="0" applyFont="1" applyBorder="1" applyAlignment="1">
      <alignment horizontal="right"/>
    </xf>
    <xf numFmtId="0" fontId="0" fillId="0" borderId="55" xfId="0" applyFont="1" applyBorder="1" applyAlignment="1">
      <alignment horizontal="right"/>
    </xf>
    <xf numFmtId="0" fontId="0" fillId="4" borderId="76" xfId="0" applyFont="1" applyFill="1" applyBorder="1" applyAlignment="1">
      <alignment horizontal="left"/>
    </xf>
    <xf numFmtId="0" fontId="0" fillId="0" borderId="24" xfId="0" applyFont="1" applyFill="1" applyBorder="1" applyAlignment="1">
      <alignment horizontal="center"/>
    </xf>
    <xf numFmtId="0" fontId="0" fillId="0" borderId="18" xfId="0" applyFont="1" applyFill="1" applyBorder="1" applyAlignment="1">
      <alignment horizontal="center"/>
    </xf>
    <xf numFmtId="191" fontId="0" fillId="0" borderId="29" xfId="0" applyNumberFormat="1" applyFont="1" applyBorder="1" applyAlignment="1" applyProtection="1">
      <alignment horizontal="center"/>
      <protection locked="0"/>
    </xf>
    <xf numFmtId="181" fontId="0" fillId="4" borderId="62" xfId="0" applyNumberFormat="1" applyFont="1" applyFill="1" applyBorder="1" applyAlignment="1">
      <alignment horizontal="center"/>
    </xf>
    <xf numFmtId="181" fontId="0" fillId="0" borderId="38" xfId="0" applyNumberFormat="1" applyFont="1" applyBorder="1" applyAlignment="1">
      <alignment horizontal="center"/>
    </xf>
    <xf numFmtId="181" fontId="0" fillId="0" borderId="62" xfId="0" applyNumberFormat="1" applyFont="1" applyFill="1" applyBorder="1" applyAlignment="1">
      <alignment horizontal="center"/>
    </xf>
    <xf numFmtId="181" fontId="0" fillId="4" borderId="62" xfId="0" applyNumberFormat="1" applyFont="1" applyFill="1" applyBorder="1" applyAlignment="1">
      <alignment horizontal="center"/>
    </xf>
    <xf numFmtId="181" fontId="0" fillId="0" borderId="62" xfId="0" applyNumberFormat="1" applyFont="1" applyFill="1" applyBorder="1" applyAlignment="1">
      <alignment horizontal="center"/>
    </xf>
    <xf numFmtId="0" fontId="0" fillId="0" borderId="0" xfId="0" applyBorder="1" applyAlignment="1">
      <alignment horizontal="center" vertical="center"/>
    </xf>
    <xf numFmtId="191" fontId="0" fillId="0" borderId="78" xfId="0" applyNumberFormat="1" applyFont="1" applyBorder="1" applyAlignment="1" applyProtection="1">
      <alignment horizontal="center"/>
      <protection locked="0"/>
    </xf>
    <xf numFmtId="181" fontId="0" fillId="4" borderId="63" xfId="0" applyNumberFormat="1" applyFont="1" applyFill="1" applyBorder="1" applyAlignment="1">
      <alignment horizontal="center"/>
    </xf>
    <xf numFmtId="181" fontId="0" fillId="0" borderId="39" xfId="0" applyNumberFormat="1" applyFont="1" applyBorder="1" applyAlignment="1">
      <alignment horizontal="center"/>
    </xf>
    <xf numFmtId="191" fontId="0" fillId="0" borderId="32" xfId="0" applyNumberFormat="1" applyFont="1" applyBorder="1" applyAlignment="1" applyProtection="1">
      <alignment horizontal="center"/>
      <protection locked="0"/>
    </xf>
    <xf numFmtId="181" fontId="0" fillId="0" borderId="63" xfId="0" applyNumberFormat="1" applyFont="1" applyFill="1" applyBorder="1" applyAlignment="1">
      <alignment horizontal="center"/>
    </xf>
    <xf numFmtId="181" fontId="0" fillId="0" borderId="5" xfId="0" applyNumberFormat="1" applyFont="1" applyBorder="1" applyAlignment="1">
      <alignment horizontal="center"/>
    </xf>
    <xf numFmtId="181" fontId="0" fillId="0" borderId="12" xfId="0" applyNumberFormat="1" applyFont="1" applyBorder="1" applyAlignment="1">
      <alignment horizontal="center"/>
    </xf>
    <xf numFmtId="166" fontId="0" fillId="0" borderId="0" xfId="0" applyNumberFormat="1" applyBorder="1" applyAlignment="1">
      <alignment horizontal="center" vertical="center"/>
    </xf>
    <xf numFmtId="0" fontId="1" fillId="0" borderId="0" xfId="0" applyFont="1" applyAlignment="1">
      <alignment horizontal="right"/>
    </xf>
    <xf numFmtId="0" fontId="0" fillId="0" borderId="29" xfId="0" applyBorder="1" applyAlignment="1">
      <alignment horizontal="right" vertical="center"/>
    </xf>
    <xf numFmtId="0" fontId="0" fillId="0" borderId="29" xfId="0" applyBorder="1" applyAlignment="1">
      <alignment horizontal="right"/>
    </xf>
    <xf numFmtId="0" fontId="0" fillId="0" borderId="78" xfId="0" applyBorder="1" applyAlignment="1">
      <alignment horizontal="right" vertical="center"/>
    </xf>
    <xf numFmtId="181" fontId="0" fillId="0" borderId="26" xfId="0" applyNumberFormat="1" applyFont="1" applyBorder="1" applyAlignment="1">
      <alignment horizontal="center"/>
    </xf>
    <xf numFmtId="0" fontId="0" fillId="0" borderId="79" xfId="0" applyBorder="1" applyAlignment="1">
      <alignment horizontal="center"/>
    </xf>
    <xf numFmtId="0" fontId="0" fillId="0" borderId="74" xfId="0" applyBorder="1" applyAlignment="1">
      <alignment horizontal="center"/>
    </xf>
    <xf numFmtId="0" fontId="0" fillId="0" borderId="34" xfId="0" applyBorder="1" applyAlignment="1">
      <alignment horizontal="center"/>
    </xf>
    <xf numFmtId="0" fontId="0" fillId="0" borderId="24" xfId="0" applyNumberFormat="1" applyFont="1" applyBorder="1" applyAlignment="1">
      <alignment horizontal="center"/>
    </xf>
    <xf numFmtId="181" fontId="0" fillId="0" borderId="14" xfId="0" applyNumberFormat="1" applyFont="1" applyBorder="1" applyAlignment="1">
      <alignment horizontal="right" vertical="center" textRotation="90" wrapText="1"/>
    </xf>
    <xf numFmtId="181" fontId="0" fillId="0" borderId="48" xfId="0" applyNumberFormat="1" applyFont="1" applyBorder="1" applyAlignment="1">
      <alignment horizontal="right" vertical="center" textRotation="90" wrapText="1"/>
    </xf>
    <xf numFmtId="14" fontId="0" fillId="4" borderId="30" xfId="0" applyNumberFormat="1" applyFill="1" applyBorder="1" applyAlignment="1">
      <alignment horizontal="left"/>
    </xf>
    <xf numFmtId="0" fontId="0" fillId="4" borderId="66" xfId="0" applyFont="1" applyFill="1" applyBorder="1" applyAlignment="1">
      <alignment horizontal="center"/>
    </xf>
    <xf numFmtId="0" fontId="0" fillId="4" borderId="30" xfId="0" applyFont="1" applyFill="1" applyBorder="1" applyAlignment="1">
      <alignment horizontal="center"/>
    </xf>
    <xf numFmtId="0" fontId="0" fillId="4" borderId="68" xfId="0" applyFont="1" applyFill="1" applyBorder="1" applyAlignment="1">
      <alignment horizontal="center"/>
    </xf>
    <xf numFmtId="0" fontId="0" fillId="4" borderId="67" xfId="0" applyFont="1" applyFill="1" applyBorder="1" applyAlignment="1">
      <alignment horizontal="center"/>
    </xf>
    <xf numFmtId="0" fontId="0" fillId="4" borderId="62" xfId="0" applyFont="1" applyFill="1" applyBorder="1" applyAlignment="1">
      <alignment horizontal="center"/>
    </xf>
    <xf numFmtId="0" fontId="0" fillId="4" borderId="69" xfId="0" applyFont="1" applyFill="1" applyBorder="1" applyAlignment="1">
      <alignment horizontal="center"/>
    </xf>
    <xf numFmtId="0" fontId="0" fillId="4" borderId="33" xfId="0" applyFont="1" applyFill="1" applyBorder="1" applyAlignment="1">
      <alignment horizontal="center"/>
    </xf>
    <xf numFmtId="14" fontId="0" fillId="4" borderId="66" xfId="0" applyNumberFormat="1" applyFill="1" applyBorder="1" applyAlignment="1">
      <alignment horizontal="left"/>
    </xf>
    <xf numFmtId="0" fontId="0" fillId="4" borderId="1" xfId="0" applyFont="1" applyFill="1" applyBorder="1" applyAlignment="1">
      <alignment horizontal="left"/>
    </xf>
    <xf numFmtId="0" fontId="0" fillId="4" borderId="35" xfId="0" applyFont="1" applyFill="1" applyBorder="1" applyAlignment="1">
      <alignment horizontal="left"/>
    </xf>
    <xf numFmtId="0" fontId="0" fillId="4" borderId="76" xfId="0" applyFont="1" applyFill="1" applyBorder="1" applyAlignment="1">
      <alignment horizontal="center"/>
    </xf>
    <xf numFmtId="0" fontId="0" fillId="4" borderId="79" xfId="0" applyFont="1" applyFill="1" applyBorder="1" applyAlignment="1">
      <alignment horizontal="left"/>
    </xf>
    <xf numFmtId="0" fontId="0" fillId="4" borderId="62" xfId="0" applyFont="1" applyFill="1" applyBorder="1" applyAlignment="1">
      <alignment horizontal="left"/>
    </xf>
    <xf numFmtId="0" fontId="0" fillId="0" borderId="74" xfId="0" applyBorder="1" applyAlignment="1">
      <alignment horizontal="left"/>
    </xf>
    <xf numFmtId="9" fontId="14" fillId="7" borderId="46" xfId="0" applyNumberFormat="1" applyFont="1" applyFill="1" applyBorder="1" applyAlignment="1">
      <alignment horizontal="center"/>
    </xf>
    <xf numFmtId="9" fontId="14" fillId="7" borderId="77" xfId="0" applyNumberFormat="1" applyFont="1" applyFill="1" applyBorder="1" applyAlignment="1">
      <alignment horizontal="center"/>
    </xf>
    <xf numFmtId="9" fontId="14" fillId="7" borderId="15" xfId="0" applyNumberFormat="1" applyFont="1" applyFill="1" applyBorder="1" applyAlignment="1">
      <alignment horizontal="center"/>
    </xf>
    <xf numFmtId="0" fontId="0" fillId="0" borderId="57" xfId="0" applyFont="1" applyBorder="1" applyAlignment="1">
      <alignment horizontal="left"/>
    </xf>
    <xf numFmtId="0" fontId="0" fillId="0" borderId="20" xfId="0" applyFont="1" applyBorder="1" applyAlignment="1">
      <alignment horizontal="left"/>
    </xf>
    <xf numFmtId="0" fontId="1" fillId="4" borderId="30" xfId="0" applyFont="1" applyFill="1" applyBorder="1" applyAlignment="1">
      <alignment horizontal="center"/>
    </xf>
    <xf numFmtId="0" fontId="1" fillId="4" borderId="38" xfId="0" applyFont="1" applyFill="1" applyBorder="1" applyAlignment="1">
      <alignment horizontal="center"/>
    </xf>
    <xf numFmtId="0" fontId="1" fillId="0" borderId="0" xfId="0" applyFont="1" applyAlignment="1">
      <alignment horizontal="center"/>
    </xf>
    <xf numFmtId="0" fontId="1" fillId="0" borderId="14" xfId="0" applyFont="1" applyFill="1" applyBorder="1" applyAlignment="1">
      <alignment/>
    </xf>
    <xf numFmtId="0" fontId="1" fillId="0" borderId="12" xfId="0" applyFont="1" applyFill="1" applyBorder="1" applyAlignment="1">
      <alignment horizontal="right"/>
    </xf>
    <xf numFmtId="0" fontId="1" fillId="4" borderId="14" xfId="0" applyFont="1" applyFill="1" applyBorder="1" applyAlignment="1">
      <alignment/>
    </xf>
    <xf numFmtId="0" fontId="1" fillId="4" borderId="10" xfId="0" applyFont="1" applyFill="1" applyBorder="1" applyAlignment="1">
      <alignment/>
    </xf>
    <xf numFmtId="0" fontId="1" fillId="4" borderId="10" xfId="0" applyFont="1" applyFill="1" applyBorder="1" applyAlignment="1">
      <alignment horizontal="center"/>
    </xf>
    <xf numFmtId="0" fontId="1" fillId="4" borderId="12" xfId="0" applyFont="1" applyFill="1" applyBorder="1" applyAlignment="1">
      <alignment horizontal="center"/>
    </xf>
    <xf numFmtId="0" fontId="1" fillId="0" borderId="26" xfId="0" applyFont="1" applyBorder="1" applyAlignment="1">
      <alignment horizontal="centerContinuous"/>
    </xf>
    <xf numFmtId="0" fontId="1" fillId="0" borderId="27" xfId="0" applyFont="1" applyBorder="1" applyAlignment="1">
      <alignment horizontal="centerContinuous"/>
    </xf>
    <xf numFmtId="0" fontId="1" fillId="0" borderId="20" xfId="0" applyFont="1" applyBorder="1" applyAlignment="1">
      <alignment horizontal="centerContinuous"/>
    </xf>
    <xf numFmtId="0" fontId="1" fillId="4" borderId="26" xfId="0" applyFont="1" applyFill="1" applyBorder="1" applyAlignment="1">
      <alignment horizontal="centerContinuous"/>
    </xf>
    <xf numFmtId="0" fontId="1" fillId="4" borderId="27" xfId="0" applyFont="1" applyFill="1" applyBorder="1" applyAlignment="1">
      <alignment horizontal="centerContinuous"/>
    </xf>
    <xf numFmtId="0" fontId="1" fillId="4" borderId="20" xfId="0" applyFont="1" applyFill="1" applyBorder="1" applyAlignment="1">
      <alignment horizontal="centerContinuous"/>
    </xf>
    <xf numFmtId="0" fontId="1" fillId="4" borderId="29" xfId="0" applyFont="1" applyFill="1" applyBorder="1" applyAlignment="1">
      <alignment horizontal="center" wrapText="1"/>
    </xf>
    <xf numFmtId="0" fontId="1" fillId="4" borderId="30" xfId="0" applyFont="1" applyFill="1" applyBorder="1" applyAlignment="1">
      <alignment horizontal="center" wrapText="1"/>
    </xf>
    <xf numFmtId="0" fontId="1" fillId="4" borderId="38" xfId="0" applyFont="1" applyFill="1" applyBorder="1" applyAlignment="1">
      <alignment horizontal="center" wrapText="1"/>
    </xf>
    <xf numFmtId="2" fontId="1" fillId="0" borderId="29" xfId="0" applyNumberFormat="1" applyFont="1" applyBorder="1" applyAlignment="1">
      <alignment horizontal="center"/>
    </xf>
    <xf numFmtId="0" fontId="1" fillId="0" borderId="30" xfId="0" applyFont="1" applyBorder="1" applyAlignment="1">
      <alignment horizontal="center" wrapText="1"/>
    </xf>
    <xf numFmtId="2" fontId="1" fillId="0" borderId="38" xfId="0" applyNumberFormat="1" applyFont="1" applyBorder="1" applyAlignment="1">
      <alignment horizontal="center"/>
    </xf>
    <xf numFmtId="0" fontId="1" fillId="4" borderId="29" xfId="0" applyFont="1" applyFill="1" applyBorder="1" applyAlignment="1">
      <alignment horizontal="center"/>
    </xf>
    <xf numFmtId="0" fontId="1" fillId="0" borderId="30" xfId="0" applyFont="1" applyBorder="1" applyAlignment="1">
      <alignment horizontal="center"/>
    </xf>
    <xf numFmtId="2" fontId="1" fillId="0" borderId="46" xfId="0" applyNumberFormat="1" applyFont="1" applyBorder="1" applyAlignment="1">
      <alignment horizontal="left"/>
    </xf>
    <xf numFmtId="2" fontId="1" fillId="0" borderId="59" xfId="0" applyNumberFormat="1" applyFont="1" applyBorder="1" applyAlignment="1">
      <alignment horizontal="center"/>
    </xf>
    <xf numFmtId="2" fontId="1" fillId="0" borderId="15" xfId="0" applyNumberFormat="1" applyFont="1" applyBorder="1" applyAlignment="1">
      <alignment horizontal="center"/>
    </xf>
    <xf numFmtId="2" fontId="1" fillId="0" borderId="46" xfId="0" applyNumberFormat="1" applyFont="1" applyBorder="1" applyAlignment="1">
      <alignment horizontal="center"/>
    </xf>
    <xf numFmtId="0" fontId="1" fillId="0" borderId="7" xfId="0" applyFont="1" applyBorder="1" applyAlignment="1">
      <alignment horizontal="left"/>
    </xf>
    <xf numFmtId="0" fontId="1" fillId="0" borderId="33" xfId="0" applyFont="1" applyBorder="1" applyAlignment="1">
      <alignment/>
    </xf>
    <xf numFmtId="0" fontId="1" fillId="0" borderId="33" xfId="0" applyFont="1" applyBorder="1" applyAlignment="1">
      <alignment horizontal="center"/>
    </xf>
    <xf numFmtId="2" fontId="1" fillId="0" borderId="39" xfId="0" applyNumberFormat="1" applyFont="1" applyBorder="1" applyAlignment="1">
      <alignment horizontal="center"/>
    </xf>
    <xf numFmtId="2" fontId="1" fillId="0" borderId="32" xfId="0" applyNumberFormat="1" applyFont="1" applyBorder="1" applyAlignment="1">
      <alignment horizontal="center"/>
    </xf>
    <xf numFmtId="0" fontId="1" fillId="0" borderId="80" xfId="0" applyFont="1" applyBorder="1" applyAlignment="1">
      <alignment/>
    </xf>
    <xf numFmtId="2" fontId="1" fillId="0" borderId="5" xfId="0" applyNumberFormat="1" applyFont="1" applyBorder="1" applyAlignment="1">
      <alignment horizontal="center"/>
    </xf>
    <xf numFmtId="0" fontId="1" fillId="0" borderId="46" xfId="0" applyFont="1" applyBorder="1" applyAlignment="1">
      <alignment/>
    </xf>
    <xf numFmtId="0" fontId="1" fillId="0" borderId="59" xfId="0" applyFont="1" applyBorder="1" applyAlignment="1">
      <alignment/>
    </xf>
    <xf numFmtId="0" fontId="1" fillId="4" borderId="32" xfId="0" applyFont="1" applyFill="1" applyBorder="1" applyAlignment="1">
      <alignment horizontal="center" wrapText="1"/>
    </xf>
    <xf numFmtId="0" fontId="1" fillId="4" borderId="33" xfId="0" applyFont="1" applyFill="1" applyBorder="1" applyAlignment="1">
      <alignment horizontal="center" wrapText="1"/>
    </xf>
    <xf numFmtId="0" fontId="1" fillId="4" borderId="39" xfId="0" applyFont="1" applyFill="1" applyBorder="1" applyAlignment="1">
      <alignment horizontal="center" wrapText="1"/>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9" xfId="0" applyFont="1" applyBorder="1" applyAlignment="1">
      <alignment horizontal="center" wrapText="1"/>
    </xf>
    <xf numFmtId="0" fontId="0" fillId="0" borderId="14" xfId="0" applyBorder="1" applyAlignment="1">
      <alignment horizontal="right"/>
    </xf>
    <xf numFmtId="0" fontId="0" fillId="0" borderId="48" xfId="0" applyBorder="1" applyAlignment="1">
      <alignment horizontal="right"/>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0" fillId="0" borderId="27" xfId="0" applyFont="1" applyBorder="1" applyAlignment="1">
      <alignment horizontal="center"/>
    </xf>
    <xf numFmtId="0" fontId="1" fillId="0" borderId="0" xfId="0" applyFont="1" applyAlignment="1">
      <alignment/>
    </xf>
    <xf numFmtId="0" fontId="0" fillId="0" borderId="27" xfId="0" applyBorder="1" applyAlignment="1">
      <alignment/>
    </xf>
    <xf numFmtId="10" fontId="1" fillId="2" borderId="6" xfId="21" applyNumberFormat="1" applyFont="1" applyFill="1" applyBorder="1" applyAlignment="1" applyProtection="1">
      <alignment horizontal="center" vertical="center"/>
      <protection locked="0"/>
    </xf>
    <xf numFmtId="0" fontId="1" fillId="0" borderId="23" xfId="20" applyFont="1" applyFill="1" applyBorder="1" applyAlignment="1" applyProtection="1">
      <alignment horizontal="center" vertical="center"/>
      <protection locked="0"/>
    </xf>
    <xf numFmtId="0" fontId="1" fillId="0" borderId="0" xfId="0" applyFont="1" applyBorder="1" applyAlignment="1">
      <alignment horizontal="centerContinuous"/>
    </xf>
    <xf numFmtId="1" fontId="1" fillId="0" borderId="0" xfId="0" applyNumberFormat="1" applyFont="1" applyBorder="1" applyAlignment="1">
      <alignment horizontal="center"/>
    </xf>
    <xf numFmtId="184" fontId="1" fillId="0" borderId="62" xfId="0" applyNumberFormat="1" applyFont="1" applyBorder="1" applyAlignment="1">
      <alignment horizontal="center"/>
    </xf>
    <xf numFmtId="184" fontId="1" fillId="0" borderId="63" xfId="0" applyNumberFormat="1" applyFont="1" applyBorder="1" applyAlignment="1">
      <alignment horizontal="center"/>
    </xf>
    <xf numFmtId="184" fontId="1" fillId="0" borderId="26" xfId="0" applyNumberFormat="1" applyFont="1" applyBorder="1" applyAlignment="1">
      <alignment horizontal="center"/>
    </xf>
    <xf numFmtId="0" fontId="42" fillId="7" borderId="0" xfId="0" applyFont="1" applyFill="1" applyAlignment="1">
      <alignment horizontal="center" wrapText="1"/>
    </xf>
    <xf numFmtId="9" fontId="1" fillId="4" borderId="21" xfId="21" applyFont="1" applyFill="1" applyBorder="1" applyAlignment="1" applyProtection="1">
      <alignment horizontal="center" wrapText="1"/>
      <protection locked="0"/>
    </xf>
    <xf numFmtId="0" fontId="27" fillId="7" borderId="0" xfId="0" applyFont="1" applyFill="1" applyAlignment="1">
      <alignment wrapText="1"/>
    </xf>
    <xf numFmtId="3" fontId="11" fillId="0" borderId="30" xfId="20" applyNumberFormat="1" applyFont="1" applyBorder="1" applyAlignment="1" applyProtection="1">
      <alignment horizontal="center"/>
      <protection locked="0"/>
    </xf>
    <xf numFmtId="38" fontId="11" fillId="0" borderId="6" xfId="20" applyNumberFormat="1" applyFont="1" applyBorder="1" applyAlignment="1" applyProtection="1">
      <alignment horizontal="centerContinuous"/>
      <protection locked="0"/>
    </xf>
    <xf numFmtId="189" fontId="1" fillId="0" borderId="17" xfId="0" applyNumberFormat="1" applyFont="1" applyBorder="1" applyAlignment="1">
      <alignment horizontal="center"/>
    </xf>
    <xf numFmtId="0" fontId="0" fillId="0" borderId="30" xfId="0" applyFont="1" applyFill="1" applyBorder="1" applyAlignment="1">
      <alignment horizontal="center"/>
    </xf>
    <xf numFmtId="0" fontId="0" fillId="0" borderId="30" xfId="0" applyFont="1" applyBorder="1" applyAlignment="1">
      <alignment horizontal="right"/>
    </xf>
    <xf numFmtId="9" fontId="0" fillId="0" borderId="30" xfId="21" applyFont="1" applyFill="1" applyBorder="1" applyAlignment="1">
      <alignment horizontal="center"/>
    </xf>
    <xf numFmtId="0" fontId="0" fillId="0" borderId="79" xfId="0" applyFont="1" applyBorder="1" applyAlignment="1">
      <alignment horizontal="center"/>
    </xf>
    <xf numFmtId="0" fontId="0" fillId="0" borderId="74" xfId="0" applyFont="1" applyBorder="1" applyAlignment="1">
      <alignment horizontal="center"/>
    </xf>
    <xf numFmtId="0" fontId="0" fillId="0" borderId="34" xfId="0" applyFont="1" applyBorder="1" applyAlignment="1">
      <alignment horizontal="center"/>
    </xf>
    <xf numFmtId="0" fontId="0" fillId="0" borderId="79" xfId="0" applyFont="1" applyFill="1" applyBorder="1" applyAlignment="1">
      <alignment horizontal="center"/>
    </xf>
    <xf numFmtId="0" fontId="0" fillId="0" borderId="34" xfId="0" applyFont="1" applyFill="1" applyBorder="1" applyAlignment="1">
      <alignment horizontal="center"/>
    </xf>
    <xf numFmtId="0" fontId="0" fillId="0" borderId="69" xfId="0" applyFont="1" applyFill="1" applyBorder="1" applyAlignment="1">
      <alignment horizontal="center"/>
    </xf>
    <xf numFmtId="0" fontId="0" fillId="0" borderId="36" xfId="0" applyFont="1" applyFill="1" applyBorder="1" applyAlignment="1">
      <alignment horizontal="center"/>
    </xf>
    <xf numFmtId="9" fontId="0" fillId="0" borderId="76" xfId="0" applyNumberFormat="1" applyFont="1" applyFill="1" applyBorder="1" applyAlignment="1">
      <alignment horizontal="center"/>
    </xf>
    <xf numFmtId="0" fontId="0" fillId="0" borderId="37" xfId="0" applyFont="1" applyFill="1" applyBorder="1" applyAlignment="1">
      <alignment horizontal="center"/>
    </xf>
    <xf numFmtId="0" fontId="0" fillId="0" borderId="33" xfId="0" applyFont="1" applyFill="1" applyBorder="1" applyAlignment="1">
      <alignment horizontal="center"/>
    </xf>
    <xf numFmtId="0" fontId="0" fillId="0" borderId="39" xfId="0" applyFont="1" applyFill="1" applyBorder="1" applyAlignment="1">
      <alignment horizontal="center"/>
    </xf>
    <xf numFmtId="0" fontId="0" fillId="0" borderId="38" xfId="0" applyFont="1" applyFill="1" applyBorder="1" applyAlignment="1">
      <alignment horizontal="center"/>
    </xf>
    <xf numFmtId="0" fontId="0" fillId="0" borderId="27" xfId="0" applyFont="1" applyFill="1" applyBorder="1" applyAlignment="1">
      <alignment horizontal="center"/>
    </xf>
    <xf numFmtId="0" fontId="0" fillId="0" borderId="20" xfId="0" applyFont="1" applyFill="1" applyBorder="1" applyAlignment="1">
      <alignment horizontal="center"/>
    </xf>
    <xf numFmtId="0" fontId="0" fillId="0" borderId="9" xfId="0" applyFont="1" applyFill="1" applyBorder="1" applyAlignment="1">
      <alignment horizontal="center"/>
    </xf>
    <xf numFmtId="0" fontId="0" fillId="0" borderId="13" xfId="0" applyFont="1" applyFill="1" applyBorder="1" applyAlignment="1">
      <alignment horizontal="center"/>
    </xf>
    <xf numFmtId="0" fontId="0" fillId="0" borderId="68" xfId="0" applyFont="1" applyBorder="1" applyAlignment="1">
      <alignment horizontal="center"/>
    </xf>
    <xf numFmtId="0" fontId="0" fillId="0" borderId="18" xfId="0" applyFont="1" applyBorder="1" applyAlignment="1">
      <alignment horizontal="center"/>
    </xf>
    <xf numFmtId="0" fontId="0" fillId="0" borderId="26" xfId="0" applyFont="1" applyBorder="1" applyAlignment="1">
      <alignment horizontal="center"/>
    </xf>
    <xf numFmtId="0" fontId="0" fillId="0" borderId="29" xfId="0" applyFont="1" applyBorder="1" applyAlignment="1">
      <alignment horizontal="center"/>
    </xf>
    <xf numFmtId="191" fontId="0" fillId="0" borderId="64" xfId="0" applyNumberFormat="1" applyFont="1" applyBorder="1" applyAlignment="1">
      <alignment horizontal="center" vertical="center" textRotation="90"/>
    </xf>
    <xf numFmtId="191" fontId="0" fillId="0" borderId="65" xfId="0" applyNumberFormat="1" applyFont="1" applyBorder="1" applyAlignment="1">
      <alignment horizontal="center" vertical="center" textRotation="90"/>
    </xf>
    <xf numFmtId="191" fontId="0" fillId="0" borderId="66" xfId="0" applyNumberFormat="1" applyFont="1" applyBorder="1" applyAlignment="1">
      <alignment horizontal="center" vertical="center" textRotation="90"/>
    </xf>
    <xf numFmtId="0" fontId="0" fillId="0" borderId="50" xfId="0" applyFont="1" applyBorder="1" applyAlignment="1">
      <alignment horizontal="center"/>
    </xf>
    <xf numFmtId="0" fontId="0" fillId="0" borderId="24" xfId="0" applyFont="1" applyBorder="1" applyAlignment="1">
      <alignment horizontal="center"/>
    </xf>
    <xf numFmtId="0" fontId="0" fillId="0" borderId="67" xfId="0" applyFont="1" applyFill="1" applyBorder="1" applyAlignment="1">
      <alignment horizontal="center"/>
    </xf>
    <xf numFmtId="0" fontId="0" fillId="0" borderId="23" xfId="0" applyFont="1" applyFill="1" applyBorder="1" applyAlignment="1">
      <alignment horizontal="center"/>
    </xf>
    <xf numFmtId="0" fontId="0" fillId="0" borderId="69" xfId="0" applyFont="1" applyFill="1" applyBorder="1" applyAlignment="1">
      <alignment horizontal="left"/>
    </xf>
    <xf numFmtId="0" fontId="0" fillId="0" borderId="36" xfId="0" applyFont="1" applyFill="1" applyBorder="1" applyAlignment="1">
      <alignment horizontal="left"/>
    </xf>
    <xf numFmtId="0" fontId="0" fillId="0" borderId="50" xfId="0" applyBorder="1" applyAlignment="1">
      <alignment horizontal="center" vertical="center" textRotation="90" wrapText="1"/>
    </xf>
    <xf numFmtId="0" fontId="0" fillId="0" borderId="51"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79" xfId="0" applyFont="1" applyFill="1" applyBorder="1" applyAlignment="1">
      <alignment horizontal="left"/>
    </xf>
    <xf numFmtId="0" fontId="0" fillId="0" borderId="34" xfId="0" applyFont="1" applyFill="1" applyBorder="1" applyAlignment="1">
      <alignment horizontal="left"/>
    </xf>
    <xf numFmtId="181" fontId="0" fillId="0" borderId="73" xfId="0" applyNumberFormat="1" applyFont="1" applyBorder="1" applyAlignment="1">
      <alignment horizontal="center" vertical="center" textRotation="90"/>
    </xf>
    <xf numFmtId="181" fontId="0" fillId="0" borderId="65" xfId="0" applyNumberFormat="1" applyFont="1" applyBorder="1" applyAlignment="1">
      <alignment horizontal="center" vertical="center" textRotation="90"/>
    </xf>
    <xf numFmtId="191" fontId="0" fillId="0" borderId="52" xfId="0" applyNumberFormat="1" applyFont="1" applyBorder="1" applyAlignment="1">
      <alignment horizontal="center" vertical="center" textRotation="90"/>
    </xf>
    <xf numFmtId="191" fontId="0" fillId="0" borderId="53" xfId="0" applyNumberFormat="1" applyFont="1" applyBorder="1" applyAlignment="1">
      <alignment horizontal="center" vertical="center" textRotation="90"/>
    </xf>
    <xf numFmtId="191" fontId="0" fillId="0" borderId="18" xfId="0" applyNumberFormat="1" applyFont="1" applyBorder="1" applyAlignment="1">
      <alignment horizontal="center" vertical="center" textRotation="90"/>
    </xf>
    <xf numFmtId="0" fontId="0" fillId="0" borderId="26" xfId="0" applyBorder="1" applyAlignment="1">
      <alignment horizontal="center" wrapText="1"/>
    </xf>
    <xf numFmtId="0" fontId="0" fillId="0" borderId="20" xfId="0" applyBorder="1" applyAlignment="1">
      <alignment horizontal="center" wrapText="1"/>
    </xf>
    <xf numFmtId="0" fontId="0" fillId="0" borderId="29" xfId="0" applyBorder="1" applyAlignment="1">
      <alignment horizontal="center" wrapText="1"/>
    </xf>
    <xf numFmtId="0" fontId="0" fillId="0" borderId="38" xfId="0" applyBorder="1" applyAlignment="1">
      <alignment horizontal="center" wrapText="1"/>
    </xf>
    <xf numFmtId="0" fontId="0" fillId="0" borderId="78" xfId="0" applyBorder="1" applyAlignment="1">
      <alignment horizontal="center" wrapText="1"/>
    </xf>
    <xf numFmtId="181" fontId="5" fillId="0" borderId="14" xfId="0" applyNumberFormat="1" applyFont="1" applyBorder="1" applyAlignment="1">
      <alignment horizontal="center" vertical="center"/>
    </xf>
    <xf numFmtId="181" fontId="5" fillId="0" borderId="12" xfId="0" applyNumberFormat="1" applyFont="1" applyBorder="1" applyAlignment="1">
      <alignment horizontal="center" vertical="center"/>
    </xf>
    <xf numFmtId="181" fontId="0" fillId="0" borderId="61" xfId="0" applyNumberFormat="1" applyFont="1" applyBorder="1" applyAlignment="1">
      <alignment horizontal="center" vertical="center" textRotation="90"/>
    </xf>
    <xf numFmtId="181" fontId="0" fillId="0" borderId="53" xfId="0" applyNumberFormat="1" applyFont="1" applyBorder="1" applyAlignment="1">
      <alignment horizontal="center" vertical="center" textRotation="90"/>
    </xf>
    <xf numFmtId="3" fontId="0" fillId="0" borderId="73" xfId="0" applyNumberFormat="1" applyFont="1" applyBorder="1" applyAlignment="1">
      <alignment horizontal="right" vertical="center" textRotation="90"/>
    </xf>
    <xf numFmtId="3" fontId="0" fillId="0" borderId="65" xfId="0" applyNumberFormat="1" applyFont="1" applyBorder="1" applyAlignment="1">
      <alignment horizontal="right" vertical="center" textRotation="90"/>
    </xf>
    <xf numFmtId="3" fontId="0" fillId="0" borderId="66" xfId="0" applyNumberFormat="1" applyFont="1" applyBorder="1" applyAlignment="1">
      <alignment horizontal="right" vertical="center" textRotation="90"/>
    </xf>
    <xf numFmtId="0" fontId="0" fillId="0" borderId="69" xfId="0" applyBorder="1" applyAlignment="1">
      <alignment horizontal="left" vertical="center"/>
    </xf>
    <xf numFmtId="0" fontId="0" fillId="0" borderId="36" xfId="0" applyBorder="1" applyAlignment="1">
      <alignment horizontal="left" vertical="center"/>
    </xf>
    <xf numFmtId="0" fontId="0" fillId="0" borderId="78" xfId="0" applyBorder="1" applyAlignment="1">
      <alignment horizontal="center" vertical="center" textRotation="90" wrapText="1"/>
    </xf>
    <xf numFmtId="0" fontId="0" fillId="0" borderId="58" xfId="0" applyBorder="1" applyAlignment="1">
      <alignment horizontal="center" vertical="center" textRotation="90" wrapText="1"/>
    </xf>
    <xf numFmtId="180" fontId="0" fillId="0" borderId="76" xfId="21" applyNumberFormat="1" applyBorder="1" applyAlignment="1">
      <alignment horizontal="left" vertical="center"/>
    </xf>
    <xf numFmtId="180" fontId="0" fillId="0" borderId="37" xfId="21" applyNumberFormat="1" applyBorder="1" applyAlignment="1">
      <alignment horizontal="left" vertical="center"/>
    </xf>
    <xf numFmtId="0" fontId="0" fillId="0" borderId="81" xfId="0" applyBorder="1" applyAlignment="1">
      <alignment horizontal="center" wrapText="1"/>
    </xf>
    <xf numFmtId="0" fontId="0" fillId="0" borderId="6" xfId="0" applyBorder="1" applyAlignment="1">
      <alignment horizontal="center" wrapText="1"/>
    </xf>
    <xf numFmtId="0" fontId="0" fillId="0" borderId="51" xfId="0" applyBorder="1" applyAlignment="1">
      <alignment horizontal="center" wrapText="1"/>
    </xf>
  </cellXfs>
  <cellStyles count="8">
    <cellStyle name="Normal" xfId="0"/>
    <cellStyle name="Comma" xfId="15"/>
    <cellStyle name="Comma [0]" xfId="16"/>
    <cellStyle name="Currency" xfId="17"/>
    <cellStyle name="Currency [0]" xfId="18"/>
    <cellStyle name="Input" xfId="19"/>
    <cellStyle name="Normal_Trial Shee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337</xdr:row>
      <xdr:rowOff>0</xdr:rowOff>
    </xdr:from>
    <xdr:to>
      <xdr:col>8</xdr:col>
      <xdr:colOff>409575</xdr:colOff>
      <xdr:row>337</xdr:row>
      <xdr:rowOff>0</xdr:rowOff>
    </xdr:to>
    <xdr:sp>
      <xdr:nvSpPr>
        <xdr:cNvPr id="1" name="Line 24"/>
        <xdr:cNvSpPr>
          <a:spLocks/>
        </xdr:cNvSpPr>
      </xdr:nvSpPr>
      <xdr:spPr>
        <a:xfrm>
          <a:off x="4191000" y="5536882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337</xdr:row>
      <xdr:rowOff>0</xdr:rowOff>
    </xdr:from>
    <xdr:to>
      <xdr:col>8</xdr:col>
      <xdr:colOff>409575</xdr:colOff>
      <xdr:row>337</xdr:row>
      <xdr:rowOff>0</xdr:rowOff>
    </xdr:to>
    <xdr:sp>
      <xdr:nvSpPr>
        <xdr:cNvPr id="2" name="Line 25"/>
        <xdr:cNvSpPr>
          <a:spLocks/>
        </xdr:cNvSpPr>
      </xdr:nvSpPr>
      <xdr:spPr>
        <a:xfrm>
          <a:off x="4191000" y="5536882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337</xdr:row>
      <xdr:rowOff>0</xdr:rowOff>
    </xdr:from>
    <xdr:to>
      <xdr:col>8</xdr:col>
      <xdr:colOff>409575</xdr:colOff>
      <xdr:row>337</xdr:row>
      <xdr:rowOff>0</xdr:rowOff>
    </xdr:to>
    <xdr:sp>
      <xdr:nvSpPr>
        <xdr:cNvPr id="3" name="Line 26"/>
        <xdr:cNvSpPr>
          <a:spLocks/>
        </xdr:cNvSpPr>
      </xdr:nvSpPr>
      <xdr:spPr>
        <a:xfrm>
          <a:off x="4191000" y="5536882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337</xdr:row>
      <xdr:rowOff>0</xdr:rowOff>
    </xdr:from>
    <xdr:to>
      <xdr:col>8</xdr:col>
      <xdr:colOff>409575</xdr:colOff>
      <xdr:row>337</xdr:row>
      <xdr:rowOff>0</xdr:rowOff>
    </xdr:to>
    <xdr:sp>
      <xdr:nvSpPr>
        <xdr:cNvPr id="4" name="Line 27"/>
        <xdr:cNvSpPr>
          <a:spLocks/>
        </xdr:cNvSpPr>
      </xdr:nvSpPr>
      <xdr:spPr>
        <a:xfrm>
          <a:off x="4191000" y="5536882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128</xdr:row>
      <xdr:rowOff>0</xdr:rowOff>
    </xdr:from>
    <xdr:to>
      <xdr:col>2</xdr:col>
      <xdr:colOff>0</xdr:colOff>
      <xdr:row>129</xdr:row>
      <xdr:rowOff>0</xdr:rowOff>
    </xdr:to>
    <xdr:sp>
      <xdr:nvSpPr>
        <xdr:cNvPr id="5" name="Text 322"/>
        <xdr:cNvSpPr txBox="1">
          <a:spLocks noChangeArrowheads="1"/>
        </xdr:cNvSpPr>
      </xdr:nvSpPr>
      <xdr:spPr>
        <a:xfrm>
          <a:off x="47625" y="20897850"/>
          <a:ext cx="676275"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Arial"/>
              <a:ea typeface="Arial"/>
              <a:cs typeface="Arial"/>
            </a:rPr>
            <a:t>Overall</a:t>
          </a:r>
        </a:p>
      </xdr:txBody>
    </xdr:sp>
    <xdr:clientData fPrintsWithSheet="0"/>
  </xdr:twoCellAnchor>
  <xdr:twoCellAnchor>
    <xdr:from>
      <xdr:col>2</xdr:col>
      <xdr:colOff>66675</xdr:colOff>
      <xdr:row>87</xdr:row>
      <xdr:rowOff>171450</xdr:rowOff>
    </xdr:from>
    <xdr:to>
      <xdr:col>3</xdr:col>
      <xdr:colOff>161925</xdr:colOff>
      <xdr:row>89</xdr:row>
      <xdr:rowOff>0</xdr:rowOff>
    </xdr:to>
    <xdr:sp>
      <xdr:nvSpPr>
        <xdr:cNvPr id="6" name="Text 511"/>
        <xdr:cNvSpPr txBox="1">
          <a:spLocks noChangeArrowheads="1"/>
        </xdr:cNvSpPr>
      </xdr:nvSpPr>
      <xdr:spPr>
        <a:xfrm>
          <a:off x="790575" y="14382750"/>
          <a:ext cx="7810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Print:</a:t>
          </a:r>
        </a:p>
      </xdr:txBody>
    </xdr:sp>
    <xdr:clientData/>
  </xdr:twoCellAnchor>
  <xdr:twoCellAnchor>
    <xdr:from>
      <xdr:col>1</xdr:col>
      <xdr:colOff>0</xdr:colOff>
      <xdr:row>88</xdr:row>
      <xdr:rowOff>0</xdr:rowOff>
    </xdr:from>
    <xdr:to>
      <xdr:col>2</xdr:col>
      <xdr:colOff>47625</xdr:colOff>
      <xdr:row>89</xdr:row>
      <xdr:rowOff>0</xdr:rowOff>
    </xdr:to>
    <xdr:sp>
      <xdr:nvSpPr>
        <xdr:cNvPr id="7" name="Text 512"/>
        <xdr:cNvSpPr txBox="1">
          <a:spLocks noChangeArrowheads="1"/>
        </xdr:cNvSpPr>
      </xdr:nvSpPr>
      <xdr:spPr>
        <a:xfrm>
          <a:off x="38100" y="14382750"/>
          <a:ext cx="7334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Auto:</a:t>
          </a:r>
        </a:p>
      </xdr:txBody>
    </xdr:sp>
    <xdr:clientData/>
  </xdr:twoCellAnchor>
  <xdr:twoCellAnchor>
    <xdr:from>
      <xdr:col>3</xdr:col>
      <xdr:colOff>171450</xdr:colOff>
      <xdr:row>88</xdr:row>
      <xdr:rowOff>0</xdr:rowOff>
    </xdr:from>
    <xdr:to>
      <xdr:col>4</xdr:col>
      <xdr:colOff>247650</xdr:colOff>
      <xdr:row>89</xdr:row>
      <xdr:rowOff>0</xdr:rowOff>
    </xdr:to>
    <xdr:sp>
      <xdr:nvSpPr>
        <xdr:cNvPr id="8" name="Text 514"/>
        <xdr:cNvSpPr txBox="1">
          <a:spLocks noChangeArrowheads="1"/>
        </xdr:cNvSpPr>
      </xdr:nvSpPr>
      <xdr:spPr>
        <a:xfrm>
          <a:off x="1581150" y="14382750"/>
          <a:ext cx="7620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Now:</a:t>
          </a:r>
        </a:p>
      </xdr:txBody>
    </xdr:sp>
    <xdr:clientData/>
  </xdr:twoCellAnchor>
  <xdr:twoCellAnchor>
    <xdr:from>
      <xdr:col>10</xdr:col>
      <xdr:colOff>476250</xdr:colOff>
      <xdr:row>128</xdr:row>
      <xdr:rowOff>0</xdr:rowOff>
    </xdr:from>
    <xdr:to>
      <xdr:col>19</xdr:col>
      <xdr:colOff>19050</xdr:colOff>
      <xdr:row>129</xdr:row>
      <xdr:rowOff>0</xdr:rowOff>
    </xdr:to>
    <xdr:sp>
      <xdr:nvSpPr>
        <xdr:cNvPr id="9" name="Text 555"/>
        <xdr:cNvSpPr txBox="1">
          <a:spLocks noChangeArrowheads="1"/>
        </xdr:cNvSpPr>
      </xdr:nvSpPr>
      <xdr:spPr>
        <a:xfrm>
          <a:off x="5391150" y="20897850"/>
          <a:ext cx="37814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2</xdr:col>
      <xdr:colOff>0</xdr:colOff>
      <xdr:row>128</xdr:row>
      <xdr:rowOff>0</xdr:rowOff>
    </xdr:from>
    <xdr:to>
      <xdr:col>4</xdr:col>
      <xdr:colOff>180975</xdr:colOff>
      <xdr:row>129</xdr:row>
      <xdr:rowOff>0</xdr:rowOff>
    </xdr:to>
    <xdr:sp>
      <xdr:nvSpPr>
        <xdr:cNvPr id="10" name="Text 560"/>
        <xdr:cNvSpPr txBox="1">
          <a:spLocks noChangeArrowheads="1"/>
        </xdr:cNvSpPr>
      </xdr:nvSpPr>
      <xdr:spPr>
        <a:xfrm>
          <a:off x="723900" y="20897850"/>
          <a:ext cx="1552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128</xdr:row>
      <xdr:rowOff>0</xdr:rowOff>
    </xdr:from>
    <xdr:to>
      <xdr:col>7</xdr:col>
      <xdr:colOff>323850</xdr:colOff>
      <xdr:row>129</xdr:row>
      <xdr:rowOff>0</xdr:rowOff>
    </xdr:to>
    <xdr:sp>
      <xdr:nvSpPr>
        <xdr:cNvPr id="11" name="Text 563"/>
        <xdr:cNvSpPr txBox="1">
          <a:spLocks noChangeArrowheads="1"/>
        </xdr:cNvSpPr>
      </xdr:nvSpPr>
      <xdr:spPr>
        <a:xfrm>
          <a:off x="3048000" y="20897850"/>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128</xdr:row>
      <xdr:rowOff>0</xdr:rowOff>
    </xdr:from>
    <xdr:to>
      <xdr:col>8</xdr:col>
      <xdr:colOff>428625</xdr:colOff>
      <xdr:row>129</xdr:row>
      <xdr:rowOff>0</xdr:rowOff>
    </xdr:to>
    <xdr:sp>
      <xdr:nvSpPr>
        <xdr:cNvPr id="12" name="Text 566"/>
        <xdr:cNvSpPr txBox="1">
          <a:spLocks noChangeArrowheads="1"/>
        </xdr:cNvSpPr>
      </xdr:nvSpPr>
      <xdr:spPr>
        <a:xfrm>
          <a:off x="3829050" y="20897850"/>
          <a:ext cx="790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User Cost</a:t>
          </a:r>
        </a:p>
      </xdr:txBody>
    </xdr:sp>
    <xdr:clientData fPrintsWithSheet="0"/>
  </xdr:twoCellAnchor>
  <xdr:twoCellAnchor>
    <xdr:from>
      <xdr:col>8</xdr:col>
      <xdr:colOff>428625</xdr:colOff>
      <xdr:row>128</xdr:row>
      <xdr:rowOff>0</xdr:rowOff>
    </xdr:from>
    <xdr:to>
      <xdr:col>10</xdr:col>
      <xdr:colOff>466725</xdr:colOff>
      <xdr:row>129</xdr:row>
      <xdr:rowOff>0</xdr:rowOff>
    </xdr:to>
    <xdr:sp>
      <xdr:nvSpPr>
        <xdr:cNvPr id="13" name="Text 569"/>
        <xdr:cNvSpPr txBox="1">
          <a:spLocks noChangeArrowheads="1"/>
        </xdr:cNvSpPr>
      </xdr:nvSpPr>
      <xdr:spPr>
        <a:xfrm>
          <a:off x="4619625" y="20897850"/>
          <a:ext cx="7620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128</xdr:row>
      <xdr:rowOff>0</xdr:rowOff>
    </xdr:from>
    <xdr:to>
      <xdr:col>5</xdr:col>
      <xdr:colOff>266700</xdr:colOff>
      <xdr:row>129</xdr:row>
      <xdr:rowOff>0</xdr:rowOff>
    </xdr:to>
    <xdr:sp>
      <xdr:nvSpPr>
        <xdr:cNvPr id="14" name="Text 572"/>
        <xdr:cNvSpPr txBox="1">
          <a:spLocks noChangeArrowheads="1"/>
        </xdr:cNvSpPr>
      </xdr:nvSpPr>
      <xdr:spPr>
        <a:xfrm>
          <a:off x="2276475" y="20897850"/>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231</xdr:row>
      <xdr:rowOff>0</xdr:rowOff>
    </xdr:from>
    <xdr:to>
      <xdr:col>2</xdr:col>
      <xdr:colOff>0</xdr:colOff>
      <xdr:row>232</xdr:row>
      <xdr:rowOff>0</xdr:rowOff>
    </xdr:to>
    <xdr:sp>
      <xdr:nvSpPr>
        <xdr:cNvPr id="15" name="Text 761"/>
        <xdr:cNvSpPr txBox="1">
          <a:spLocks noChangeArrowheads="1"/>
        </xdr:cNvSpPr>
      </xdr:nvSpPr>
      <xdr:spPr>
        <a:xfrm>
          <a:off x="38100" y="37938075"/>
          <a:ext cx="68580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Arial"/>
              <a:ea typeface="Arial"/>
              <a:cs typeface="Arial"/>
            </a:rPr>
            <a:t>Traffic</a:t>
          </a:r>
        </a:p>
      </xdr:txBody>
    </xdr:sp>
    <xdr:clientData fPrintsWithSheet="0"/>
  </xdr:twoCellAnchor>
  <xdr:twoCellAnchor>
    <xdr:from>
      <xdr:col>2</xdr:col>
      <xdr:colOff>0</xdr:colOff>
      <xdr:row>231</xdr:row>
      <xdr:rowOff>0</xdr:rowOff>
    </xdr:from>
    <xdr:to>
      <xdr:col>4</xdr:col>
      <xdr:colOff>180975</xdr:colOff>
      <xdr:row>232</xdr:row>
      <xdr:rowOff>0</xdr:rowOff>
    </xdr:to>
    <xdr:sp>
      <xdr:nvSpPr>
        <xdr:cNvPr id="16" name="Text 767"/>
        <xdr:cNvSpPr txBox="1">
          <a:spLocks noChangeArrowheads="1"/>
        </xdr:cNvSpPr>
      </xdr:nvSpPr>
      <xdr:spPr>
        <a:xfrm>
          <a:off x="723900" y="37938075"/>
          <a:ext cx="1552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231</xdr:row>
      <xdr:rowOff>0</xdr:rowOff>
    </xdr:from>
    <xdr:to>
      <xdr:col>7</xdr:col>
      <xdr:colOff>323850</xdr:colOff>
      <xdr:row>231</xdr:row>
      <xdr:rowOff>304800</xdr:rowOff>
    </xdr:to>
    <xdr:sp>
      <xdr:nvSpPr>
        <xdr:cNvPr id="17" name="Text 770"/>
        <xdr:cNvSpPr txBox="1">
          <a:spLocks noChangeArrowheads="1"/>
        </xdr:cNvSpPr>
      </xdr:nvSpPr>
      <xdr:spPr>
        <a:xfrm>
          <a:off x="3048000" y="3793807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231</xdr:row>
      <xdr:rowOff>0</xdr:rowOff>
    </xdr:from>
    <xdr:to>
      <xdr:col>8</xdr:col>
      <xdr:colOff>419100</xdr:colOff>
      <xdr:row>231</xdr:row>
      <xdr:rowOff>304800</xdr:rowOff>
    </xdr:to>
    <xdr:sp>
      <xdr:nvSpPr>
        <xdr:cNvPr id="18" name="Text 773"/>
        <xdr:cNvSpPr txBox="1">
          <a:spLocks noChangeArrowheads="1"/>
        </xdr:cNvSpPr>
      </xdr:nvSpPr>
      <xdr:spPr>
        <a:xfrm>
          <a:off x="3829050" y="3793807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User Cost</a:t>
          </a:r>
        </a:p>
      </xdr:txBody>
    </xdr:sp>
    <xdr:clientData fPrintsWithSheet="0"/>
  </xdr:twoCellAnchor>
  <xdr:twoCellAnchor>
    <xdr:from>
      <xdr:col>8</xdr:col>
      <xdr:colOff>419100</xdr:colOff>
      <xdr:row>231</xdr:row>
      <xdr:rowOff>0</xdr:rowOff>
    </xdr:from>
    <xdr:to>
      <xdr:col>10</xdr:col>
      <xdr:colOff>466725</xdr:colOff>
      <xdr:row>231</xdr:row>
      <xdr:rowOff>304800</xdr:rowOff>
    </xdr:to>
    <xdr:sp>
      <xdr:nvSpPr>
        <xdr:cNvPr id="19" name="Text 776"/>
        <xdr:cNvSpPr txBox="1">
          <a:spLocks noChangeArrowheads="1"/>
        </xdr:cNvSpPr>
      </xdr:nvSpPr>
      <xdr:spPr>
        <a:xfrm>
          <a:off x="4610100" y="3793807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231</xdr:row>
      <xdr:rowOff>0</xdr:rowOff>
    </xdr:from>
    <xdr:to>
      <xdr:col>5</xdr:col>
      <xdr:colOff>266700</xdr:colOff>
      <xdr:row>231</xdr:row>
      <xdr:rowOff>304800</xdr:rowOff>
    </xdr:to>
    <xdr:sp>
      <xdr:nvSpPr>
        <xdr:cNvPr id="20" name="Text 779"/>
        <xdr:cNvSpPr txBox="1">
          <a:spLocks noChangeArrowheads="1"/>
        </xdr:cNvSpPr>
      </xdr:nvSpPr>
      <xdr:spPr>
        <a:xfrm>
          <a:off x="2276475" y="3793807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303</xdr:row>
      <xdr:rowOff>0</xdr:rowOff>
    </xdr:from>
    <xdr:to>
      <xdr:col>2</xdr:col>
      <xdr:colOff>76200</xdr:colOff>
      <xdr:row>304</xdr:row>
      <xdr:rowOff>0</xdr:rowOff>
    </xdr:to>
    <xdr:sp>
      <xdr:nvSpPr>
        <xdr:cNvPr id="21" name="Text 784"/>
        <xdr:cNvSpPr txBox="1">
          <a:spLocks noChangeArrowheads="1"/>
        </xdr:cNvSpPr>
      </xdr:nvSpPr>
      <xdr:spPr>
        <a:xfrm>
          <a:off x="38100" y="49796700"/>
          <a:ext cx="762000" cy="295275"/>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0000"/>
              </a:solidFill>
              <a:latin typeface="Arial"/>
              <a:ea typeface="Arial"/>
              <a:cs typeface="Arial"/>
            </a:rPr>
            <a:t>User Cost</a:t>
          </a:r>
        </a:p>
      </xdr:txBody>
    </xdr:sp>
    <xdr:clientData fPrintsWithSheet="0"/>
  </xdr:twoCellAnchor>
  <xdr:twoCellAnchor>
    <xdr:from>
      <xdr:col>2</xdr:col>
      <xdr:colOff>76200</xdr:colOff>
      <xdr:row>303</xdr:row>
      <xdr:rowOff>0</xdr:rowOff>
    </xdr:from>
    <xdr:to>
      <xdr:col>4</xdr:col>
      <xdr:colOff>180975</xdr:colOff>
      <xdr:row>304</xdr:row>
      <xdr:rowOff>0</xdr:rowOff>
    </xdr:to>
    <xdr:sp>
      <xdr:nvSpPr>
        <xdr:cNvPr id="22" name="Text 790"/>
        <xdr:cNvSpPr txBox="1">
          <a:spLocks noChangeArrowheads="1"/>
        </xdr:cNvSpPr>
      </xdr:nvSpPr>
      <xdr:spPr>
        <a:xfrm>
          <a:off x="800100" y="49796700"/>
          <a:ext cx="1476375" cy="295275"/>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303</xdr:row>
      <xdr:rowOff>0</xdr:rowOff>
    </xdr:from>
    <xdr:to>
      <xdr:col>7</xdr:col>
      <xdr:colOff>323850</xdr:colOff>
      <xdr:row>304</xdr:row>
      <xdr:rowOff>0</xdr:rowOff>
    </xdr:to>
    <xdr:sp>
      <xdr:nvSpPr>
        <xdr:cNvPr id="23" name="Text 793"/>
        <xdr:cNvSpPr txBox="1">
          <a:spLocks noChangeArrowheads="1"/>
        </xdr:cNvSpPr>
      </xdr:nvSpPr>
      <xdr:spPr>
        <a:xfrm>
          <a:off x="3048000" y="49796700"/>
          <a:ext cx="781050" cy="295275"/>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303</xdr:row>
      <xdr:rowOff>0</xdr:rowOff>
    </xdr:from>
    <xdr:to>
      <xdr:col>8</xdr:col>
      <xdr:colOff>419100</xdr:colOff>
      <xdr:row>304</xdr:row>
      <xdr:rowOff>0</xdr:rowOff>
    </xdr:to>
    <xdr:sp>
      <xdr:nvSpPr>
        <xdr:cNvPr id="24" name="Text 796"/>
        <xdr:cNvSpPr txBox="1">
          <a:spLocks noChangeArrowheads="1"/>
        </xdr:cNvSpPr>
      </xdr:nvSpPr>
      <xdr:spPr>
        <a:xfrm>
          <a:off x="3829050" y="49796700"/>
          <a:ext cx="781050" cy="295275"/>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User Cost</a:t>
          </a:r>
        </a:p>
      </xdr:txBody>
    </xdr:sp>
    <xdr:clientData fPrintsWithSheet="0"/>
  </xdr:twoCellAnchor>
  <xdr:twoCellAnchor>
    <xdr:from>
      <xdr:col>8</xdr:col>
      <xdr:colOff>419100</xdr:colOff>
      <xdr:row>303</xdr:row>
      <xdr:rowOff>0</xdr:rowOff>
    </xdr:from>
    <xdr:to>
      <xdr:col>10</xdr:col>
      <xdr:colOff>466725</xdr:colOff>
      <xdr:row>304</xdr:row>
      <xdr:rowOff>0</xdr:rowOff>
    </xdr:to>
    <xdr:sp>
      <xdr:nvSpPr>
        <xdr:cNvPr id="25" name="Text 799"/>
        <xdr:cNvSpPr txBox="1">
          <a:spLocks noChangeArrowheads="1"/>
        </xdr:cNvSpPr>
      </xdr:nvSpPr>
      <xdr:spPr>
        <a:xfrm>
          <a:off x="4610100" y="49796700"/>
          <a:ext cx="771525" cy="295275"/>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303</xdr:row>
      <xdr:rowOff>0</xdr:rowOff>
    </xdr:from>
    <xdr:to>
      <xdr:col>5</xdr:col>
      <xdr:colOff>266700</xdr:colOff>
      <xdr:row>304</xdr:row>
      <xdr:rowOff>0</xdr:rowOff>
    </xdr:to>
    <xdr:sp>
      <xdr:nvSpPr>
        <xdr:cNvPr id="26" name="Text 802"/>
        <xdr:cNvSpPr txBox="1">
          <a:spLocks noChangeArrowheads="1"/>
        </xdr:cNvSpPr>
      </xdr:nvSpPr>
      <xdr:spPr>
        <a:xfrm>
          <a:off x="2276475" y="49796700"/>
          <a:ext cx="771525" cy="295275"/>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375</xdr:row>
      <xdr:rowOff>0</xdr:rowOff>
    </xdr:from>
    <xdr:to>
      <xdr:col>1</xdr:col>
      <xdr:colOff>666750</xdr:colOff>
      <xdr:row>376</xdr:row>
      <xdr:rowOff>0</xdr:rowOff>
    </xdr:to>
    <xdr:sp>
      <xdr:nvSpPr>
        <xdr:cNvPr id="27" name="Text 830"/>
        <xdr:cNvSpPr txBox="1">
          <a:spLocks noChangeArrowheads="1"/>
        </xdr:cNvSpPr>
      </xdr:nvSpPr>
      <xdr:spPr>
        <a:xfrm>
          <a:off x="38100" y="61645800"/>
          <a:ext cx="66675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Arial"/>
              <a:ea typeface="Arial"/>
              <a:cs typeface="Arial"/>
            </a:rPr>
            <a:t>Combo</a:t>
          </a:r>
        </a:p>
      </xdr:txBody>
    </xdr:sp>
    <xdr:clientData fPrintsWithSheet="0"/>
  </xdr:twoCellAnchor>
  <xdr:twoCellAnchor>
    <xdr:from>
      <xdr:col>10</xdr:col>
      <xdr:colOff>466725</xdr:colOff>
      <xdr:row>375</xdr:row>
      <xdr:rowOff>0</xdr:rowOff>
    </xdr:from>
    <xdr:to>
      <xdr:col>18</xdr:col>
      <xdr:colOff>0</xdr:colOff>
      <xdr:row>376</xdr:row>
      <xdr:rowOff>0</xdr:rowOff>
    </xdr:to>
    <xdr:sp>
      <xdr:nvSpPr>
        <xdr:cNvPr id="28" name="Text 831"/>
        <xdr:cNvSpPr txBox="1">
          <a:spLocks noChangeArrowheads="1"/>
        </xdr:cNvSpPr>
      </xdr:nvSpPr>
      <xdr:spPr>
        <a:xfrm>
          <a:off x="5381625" y="61645800"/>
          <a:ext cx="37242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xdr:col>
      <xdr:colOff>676275</xdr:colOff>
      <xdr:row>375</xdr:row>
      <xdr:rowOff>0</xdr:rowOff>
    </xdr:from>
    <xdr:to>
      <xdr:col>4</xdr:col>
      <xdr:colOff>180975</xdr:colOff>
      <xdr:row>376</xdr:row>
      <xdr:rowOff>0</xdr:rowOff>
    </xdr:to>
    <xdr:sp>
      <xdr:nvSpPr>
        <xdr:cNvPr id="29" name="Text 836"/>
        <xdr:cNvSpPr txBox="1">
          <a:spLocks noChangeArrowheads="1"/>
        </xdr:cNvSpPr>
      </xdr:nvSpPr>
      <xdr:spPr>
        <a:xfrm>
          <a:off x="714375" y="61645800"/>
          <a:ext cx="15621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375</xdr:row>
      <xdr:rowOff>0</xdr:rowOff>
    </xdr:from>
    <xdr:to>
      <xdr:col>7</xdr:col>
      <xdr:colOff>323850</xdr:colOff>
      <xdr:row>376</xdr:row>
      <xdr:rowOff>0</xdr:rowOff>
    </xdr:to>
    <xdr:sp>
      <xdr:nvSpPr>
        <xdr:cNvPr id="30" name="Text 839"/>
        <xdr:cNvSpPr txBox="1">
          <a:spLocks noChangeArrowheads="1"/>
        </xdr:cNvSpPr>
      </xdr:nvSpPr>
      <xdr:spPr>
        <a:xfrm>
          <a:off x="3048000" y="61645800"/>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375</xdr:row>
      <xdr:rowOff>0</xdr:rowOff>
    </xdr:from>
    <xdr:to>
      <xdr:col>8</xdr:col>
      <xdr:colOff>419100</xdr:colOff>
      <xdr:row>376</xdr:row>
      <xdr:rowOff>0</xdr:rowOff>
    </xdr:to>
    <xdr:sp>
      <xdr:nvSpPr>
        <xdr:cNvPr id="31" name="Text 842"/>
        <xdr:cNvSpPr txBox="1">
          <a:spLocks noChangeArrowheads="1"/>
        </xdr:cNvSpPr>
      </xdr:nvSpPr>
      <xdr:spPr>
        <a:xfrm>
          <a:off x="3829050" y="61645800"/>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User Cost</a:t>
          </a:r>
        </a:p>
      </xdr:txBody>
    </xdr:sp>
    <xdr:clientData fPrintsWithSheet="0"/>
  </xdr:twoCellAnchor>
  <xdr:twoCellAnchor>
    <xdr:from>
      <xdr:col>8</xdr:col>
      <xdr:colOff>419100</xdr:colOff>
      <xdr:row>375</xdr:row>
      <xdr:rowOff>0</xdr:rowOff>
    </xdr:from>
    <xdr:to>
      <xdr:col>10</xdr:col>
      <xdr:colOff>466725</xdr:colOff>
      <xdr:row>376</xdr:row>
      <xdr:rowOff>0</xdr:rowOff>
    </xdr:to>
    <xdr:sp>
      <xdr:nvSpPr>
        <xdr:cNvPr id="32" name="Text 845"/>
        <xdr:cNvSpPr txBox="1">
          <a:spLocks noChangeArrowheads="1"/>
        </xdr:cNvSpPr>
      </xdr:nvSpPr>
      <xdr:spPr>
        <a:xfrm>
          <a:off x="4610100" y="61645800"/>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375</xdr:row>
      <xdr:rowOff>0</xdr:rowOff>
    </xdr:from>
    <xdr:to>
      <xdr:col>5</xdr:col>
      <xdr:colOff>266700</xdr:colOff>
      <xdr:row>376</xdr:row>
      <xdr:rowOff>0</xdr:rowOff>
    </xdr:to>
    <xdr:sp>
      <xdr:nvSpPr>
        <xdr:cNvPr id="33" name="Text 848"/>
        <xdr:cNvSpPr txBox="1">
          <a:spLocks noChangeArrowheads="1"/>
        </xdr:cNvSpPr>
      </xdr:nvSpPr>
      <xdr:spPr>
        <a:xfrm>
          <a:off x="2276475" y="61645800"/>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37</xdr:row>
      <xdr:rowOff>180975</xdr:rowOff>
    </xdr:from>
    <xdr:to>
      <xdr:col>2</xdr:col>
      <xdr:colOff>76200</xdr:colOff>
      <xdr:row>38</xdr:row>
      <xdr:rowOff>295275</xdr:rowOff>
    </xdr:to>
    <xdr:sp>
      <xdr:nvSpPr>
        <xdr:cNvPr id="34" name="Text 853"/>
        <xdr:cNvSpPr txBox="1">
          <a:spLocks noChangeArrowheads="1"/>
        </xdr:cNvSpPr>
      </xdr:nvSpPr>
      <xdr:spPr>
        <a:xfrm>
          <a:off x="38100" y="6019800"/>
          <a:ext cx="76200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0000"/>
              </a:solidFill>
              <a:latin typeface="Arial"/>
              <a:ea typeface="Arial"/>
              <a:cs typeface="Arial"/>
            </a:rPr>
            <a:t>Summary</a:t>
          </a:r>
        </a:p>
      </xdr:txBody>
    </xdr:sp>
    <xdr:clientData fPrintsWithSheet="0"/>
  </xdr:twoCellAnchor>
  <xdr:twoCellAnchor>
    <xdr:from>
      <xdr:col>10</xdr:col>
      <xdr:colOff>466725</xdr:colOff>
      <xdr:row>37</xdr:row>
      <xdr:rowOff>180975</xdr:rowOff>
    </xdr:from>
    <xdr:to>
      <xdr:col>17</xdr:col>
      <xdr:colOff>495300</xdr:colOff>
      <xdr:row>38</xdr:row>
      <xdr:rowOff>295275</xdr:rowOff>
    </xdr:to>
    <xdr:sp>
      <xdr:nvSpPr>
        <xdr:cNvPr id="35" name="Text 854"/>
        <xdr:cNvSpPr txBox="1">
          <a:spLocks noChangeArrowheads="1"/>
        </xdr:cNvSpPr>
      </xdr:nvSpPr>
      <xdr:spPr>
        <a:xfrm>
          <a:off x="5381625" y="6019800"/>
          <a:ext cx="35337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2</xdr:col>
      <xdr:colOff>76200</xdr:colOff>
      <xdr:row>37</xdr:row>
      <xdr:rowOff>180975</xdr:rowOff>
    </xdr:from>
    <xdr:to>
      <xdr:col>4</xdr:col>
      <xdr:colOff>180975</xdr:colOff>
      <xdr:row>38</xdr:row>
      <xdr:rowOff>295275</xdr:rowOff>
    </xdr:to>
    <xdr:sp>
      <xdr:nvSpPr>
        <xdr:cNvPr id="36" name="Text 859"/>
        <xdr:cNvSpPr txBox="1">
          <a:spLocks noChangeArrowheads="1"/>
        </xdr:cNvSpPr>
      </xdr:nvSpPr>
      <xdr:spPr>
        <a:xfrm>
          <a:off x="800100" y="6019800"/>
          <a:ext cx="14763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37</xdr:row>
      <xdr:rowOff>180975</xdr:rowOff>
    </xdr:from>
    <xdr:to>
      <xdr:col>7</xdr:col>
      <xdr:colOff>323850</xdr:colOff>
      <xdr:row>38</xdr:row>
      <xdr:rowOff>295275</xdr:rowOff>
    </xdr:to>
    <xdr:sp>
      <xdr:nvSpPr>
        <xdr:cNvPr id="37" name="Text 862"/>
        <xdr:cNvSpPr txBox="1">
          <a:spLocks noChangeArrowheads="1"/>
        </xdr:cNvSpPr>
      </xdr:nvSpPr>
      <xdr:spPr>
        <a:xfrm>
          <a:off x="3048000" y="6019800"/>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37</xdr:row>
      <xdr:rowOff>180975</xdr:rowOff>
    </xdr:from>
    <xdr:to>
      <xdr:col>8</xdr:col>
      <xdr:colOff>419100</xdr:colOff>
      <xdr:row>38</xdr:row>
      <xdr:rowOff>295275</xdr:rowOff>
    </xdr:to>
    <xdr:sp>
      <xdr:nvSpPr>
        <xdr:cNvPr id="38" name="Text 865"/>
        <xdr:cNvSpPr txBox="1">
          <a:spLocks noChangeArrowheads="1"/>
        </xdr:cNvSpPr>
      </xdr:nvSpPr>
      <xdr:spPr>
        <a:xfrm>
          <a:off x="3829050" y="6019800"/>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User Cost</a:t>
          </a:r>
        </a:p>
      </xdr:txBody>
    </xdr:sp>
    <xdr:clientData fPrintsWithSheet="0"/>
  </xdr:twoCellAnchor>
  <xdr:twoCellAnchor>
    <xdr:from>
      <xdr:col>8</xdr:col>
      <xdr:colOff>419100</xdr:colOff>
      <xdr:row>37</xdr:row>
      <xdr:rowOff>180975</xdr:rowOff>
    </xdr:from>
    <xdr:to>
      <xdr:col>10</xdr:col>
      <xdr:colOff>466725</xdr:colOff>
      <xdr:row>38</xdr:row>
      <xdr:rowOff>295275</xdr:rowOff>
    </xdr:to>
    <xdr:sp>
      <xdr:nvSpPr>
        <xdr:cNvPr id="39" name="Text 868"/>
        <xdr:cNvSpPr txBox="1">
          <a:spLocks noChangeArrowheads="1"/>
        </xdr:cNvSpPr>
      </xdr:nvSpPr>
      <xdr:spPr>
        <a:xfrm>
          <a:off x="4610100" y="6019800"/>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37</xdr:row>
      <xdr:rowOff>180975</xdr:rowOff>
    </xdr:from>
    <xdr:to>
      <xdr:col>5</xdr:col>
      <xdr:colOff>266700</xdr:colOff>
      <xdr:row>38</xdr:row>
      <xdr:rowOff>295275</xdr:rowOff>
    </xdr:to>
    <xdr:sp>
      <xdr:nvSpPr>
        <xdr:cNvPr id="40" name="Text 871"/>
        <xdr:cNvSpPr txBox="1">
          <a:spLocks noChangeArrowheads="1"/>
        </xdr:cNvSpPr>
      </xdr:nvSpPr>
      <xdr:spPr>
        <a:xfrm>
          <a:off x="2276475" y="6019800"/>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10</xdr:col>
      <xdr:colOff>466725</xdr:colOff>
      <xdr:row>231</xdr:row>
      <xdr:rowOff>0</xdr:rowOff>
    </xdr:from>
    <xdr:to>
      <xdr:col>18</xdr:col>
      <xdr:colOff>0</xdr:colOff>
      <xdr:row>232</xdr:row>
      <xdr:rowOff>0</xdr:rowOff>
    </xdr:to>
    <xdr:sp>
      <xdr:nvSpPr>
        <xdr:cNvPr id="41" name="Text 882"/>
        <xdr:cNvSpPr txBox="1">
          <a:spLocks noChangeArrowheads="1"/>
        </xdr:cNvSpPr>
      </xdr:nvSpPr>
      <xdr:spPr>
        <a:xfrm>
          <a:off x="5381625" y="37938075"/>
          <a:ext cx="37242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10</xdr:col>
      <xdr:colOff>466725</xdr:colOff>
      <xdr:row>302</xdr:row>
      <xdr:rowOff>161925</xdr:rowOff>
    </xdr:from>
    <xdr:to>
      <xdr:col>17</xdr:col>
      <xdr:colOff>485775</xdr:colOff>
      <xdr:row>304</xdr:row>
      <xdr:rowOff>0</xdr:rowOff>
    </xdr:to>
    <xdr:sp>
      <xdr:nvSpPr>
        <xdr:cNvPr id="42" name="Text 888"/>
        <xdr:cNvSpPr txBox="1">
          <a:spLocks noChangeArrowheads="1"/>
        </xdr:cNvSpPr>
      </xdr:nvSpPr>
      <xdr:spPr>
        <a:xfrm>
          <a:off x="5381625" y="49787175"/>
          <a:ext cx="35242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11</xdr:col>
      <xdr:colOff>28575</xdr:colOff>
      <xdr:row>447</xdr:row>
      <xdr:rowOff>0</xdr:rowOff>
    </xdr:from>
    <xdr:to>
      <xdr:col>18</xdr:col>
      <xdr:colOff>47625</xdr:colOff>
      <xdr:row>448</xdr:row>
      <xdr:rowOff>142875</xdr:rowOff>
    </xdr:to>
    <xdr:sp>
      <xdr:nvSpPr>
        <xdr:cNvPr id="43" name="Text 894"/>
        <xdr:cNvSpPr txBox="1">
          <a:spLocks noChangeArrowheads="1"/>
        </xdr:cNvSpPr>
      </xdr:nvSpPr>
      <xdr:spPr>
        <a:xfrm>
          <a:off x="5629275" y="74018775"/>
          <a:ext cx="35242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2</xdr:col>
      <xdr:colOff>38100</xdr:colOff>
      <xdr:row>447</xdr:row>
      <xdr:rowOff>0</xdr:rowOff>
    </xdr:from>
    <xdr:to>
      <xdr:col>4</xdr:col>
      <xdr:colOff>228600</xdr:colOff>
      <xdr:row>448</xdr:row>
      <xdr:rowOff>142875</xdr:rowOff>
    </xdr:to>
    <xdr:sp>
      <xdr:nvSpPr>
        <xdr:cNvPr id="44" name="Text 899"/>
        <xdr:cNvSpPr txBox="1">
          <a:spLocks noChangeArrowheads="1"/>
        </xdr:cNvSpPr>
      </xdr:nvSpPr>
      <xdr:spPr>
        <a:xfrm>
          <a:off x="762000" y="74018775"/>
          <a:ext cx="15621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323850</xdr:colOff>
      <xdr:row>447</xdr:row>
      <xdr:rowOff>0</xdr:rowOff>
    </xdr:from>
    <xdr:to>
      <xdr:col>7</xdr:col>
      <xdr:colOff>371475</xdr:colOff>
      <xdr:row>448</xdr:row>
      <xdr:rowOff>142875</xdr:rowOff>
    </xdr:to>
    <xdr:sp>
      <xdr:nvSpPr>
        <xdr:cNvPr id="45" name="Text 902"/>
        <xdr:cNvSpPr txBox="1">
          <a:spLocks noChangeArrowheads="1"/>
        </xdr:cNvSpPr>
      </xdr:nvSpPr>
      <xdr:spPr>
        <a:xfrm>
          <a:off x="3105150" y="7401877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371475</xdr:colOff>
      <xdr:row>447</xdr:row>
      <xdr:rowOff>0</xdr:rowOff>
    </xdr:from>
    <xdr:to>
      <xdr:col>8</xdr:col>
      <xdr:colOff>466725</xdr:colOff>
      <xdr:row>448</xdr:row>
      <xdr:rowOff>142875</xdr:rowOff>
    </xdr:to>
    <xdr:sp>
      <xdr:nvSpPr>
        <xdr:cNvPr id="46" name="Text 905"/>
        <xdr:cNvSpPr txBox="1">
          <a:spLocks noChangeArrowheads="1"/>
        </xdr:cNvSpPr>
      </xdr:nvSpPr>
      <xdr:spPr>
        <a:xfrm>
          <a:off x="3876675" y="7401877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User Cost</a:t>
          </a:r>
        </a:p>
      </xdr:txBody>
    </xdr:sp>
    <xdr:clientData fPrintsWithSheet="0"/>
  </xdr:twoCellAnchor>
  <xdr:twoCellAnchor>
    <xdr:from>
      <xdr:col>8</xdr:col>
      <xdr:colOff>466725</xdr:colOff>
      <xdr:row>447</xdr:row>
      <xdr:rowOff>0</xdr:rowOff>
    </xdr:from>
    <xdr:to>
      <xdr:col>11</xdr:col>
      <xdr:colOff>28575</xdr:colOff>
      <xdr:row>448</xdr:row>
      <xdr:rowOff>142875</xdr:rowOff>
    </xdr:to>
    <xdr:sp>
      <xdr:nvSpPr>
        <xdr:cNvPr id="47" name="Text 908"/>
        <xdr:cNvSpPr txBox="1">
          <a:spLocks noChangeArrowheads="1"/>
        </xdr:cNvSpPr>
      </xdr:nvSpPr>
      <xdr:spPr>
        <a:xfrm>
          <a:off x="4657725" y="74018775"/>
          <a:ext cx="9715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228600</xdr:colOff>
      <xdr:row>447</xdr:row>
      <xdr:rowOff>0</xdr:rowOff>
    </xdr:from>
    <xdr:to>
      <xdr:col>5</xdr:col>
      <xdr:colOff>323850</xdr:colOff>
      <xdr:row>448</xdr:row>
      <xdr:rowOff>142875</xdr:rowOff>
    </xdr:to>
    <xdr:sp>
      <xdr:nvSpPr>
        <xdr:cNvPr id="48" name="Text 911"/>
        <xdr:cNvSpPr txBox="1">
          <a:spLocks noChangeArrowheads="1"/>
        </xdr:cNvSpPr>
      </xdr:nvSpPr>
      <xdr:spPr>
        <a:xfrm>
          <a:off x="2324100" y="7401877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90</xdr:row>
      <xdr:rowOff>161925</xdr:rowOff>
    </xdr:from>
    <xdr:to>
      <xdr:col>1</xdr:col>
      <xdr:colOff>400050</xdr:colOff>
      <xdr:row>91</xdr:row>
      <xdr:rowOff>304800</xdr:rowOff>
    </xdr:to>
    <xdr:sp>
      <xdr:nvSpPr>
        <xdr:cNvPr id="49" name="Text 916"/>
        <xdr:cNvSpPr txBox="1">
          <a:spLocks noChangeArrowheads="1"/>
        </xdr:cNvSpPr>
      </xdr:nvSpPr>
      <xdr:spPr>
        <a:xfrm>
          <a:off x="38100" y="14773275"/>
          <a:ext cx="40005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fPrintsWithSheet="0"/>
  </xdr:twoCellAnchor>
  <xdr:twoCellAnchor>
    <xdr:from>
      <xdr:col>10</xdr:col>
      <xdr:colOff>466725</xdr:colOff>
      <xdr:row>90</xdr:row>
      <xdr:rowOff>161925</xdr:rowOff>
    </xdr:from>
    <xdr:to>
      <xdr:col>18</xdr:col>
      <xdr:colOff>0</xdr:colOff>
      <xdr:row>91</xdr:row>
      <xdr:rowOff>304800</xdr:rowOff>
    </xdr:to>
    <xdr:sp>
      <xdr:nvSpPr>
        <xdr:cNvPr id="50" name="Text 917"/>
        <xdr:cNvSpPr txBox="1">
          <a:spLocks noChangeArrowheads="1"/>
        </xdr:cNvSpPr>
      </xdr:nvSpPr>
      <xdr:spPr>
        <a:xfrm>
          <a:off x="5381625" y="14773275"/>
          <a:ext cx="37242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xdr:col>
      <xdr:colOff>400050</xdr:colOff>
      <xdr:row>90</xdr:row>
      <xdr:rowOff>161925</xdr:rowOff>
    </xdr:from>
    <xdr:to>
      <xdr:col>4</xdr:col>
      <xdr:colOff>180975</xdr:colOff>
      <xdr:row>91</xdr:row>
      <xdr:rowOff>304800</xdr:rowOff>
    </xdr:to>
    <xdr:sp>
      <xdr:nvSpPr>
        <xdr:cNvPr id="51" name="Text 922"/>
        <xdr:cNvSpPr txBox="1">
          <a:spLocks noChangeArrowheads="1"/>
        </xdr:cNvSpPr>
      </xdr:nvSpPr>
      <xdr:spPr>
        <a:xfrm>
          <a:off x="438150" y="14773275"/>
          <a:ext cx="18383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90</xdr:row>
      <xdr:rowOff>161925</xdr:rowOff>
    </xdr:from>
    <xdr:to>
      <xdr:col>7</xdr:col>
      <xdr:colOff>323850</xdr:colOff>
      <xdr:row>91</xdr:row>
      <xdr:rowOff>304800</xdr:rowOff>
    </xdr:to>
    <xdr:sp>
      <xdr:nvSpPr>
        <xdr:cNvPr id="52" name="Text 925"/>
        <xdr:cNvSpPr txBox="1">
          <a:spLocks noChangeArrowheads="1"/>
        </xdr:cNvSpPr>
      </xdr:nvSpPr>
      <xdr:spPr>
        <a:xfrm>
          <a:off x="3048000" y="1477327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90</xdr:row>
      <xdr:rowOff>161925</xdr:rowOff>
    </xdr:from>
    <xdr:to>
      <xdr:col>8</xdr:col>
      <xdr:colOff>419100</xdr:colOff>
      <xdr:row>91</xdr:row>
      <xdr:rowOff>304800</xdr:rowOff>
    </xdr:to>
    <xdr:sp>
      <xdr:nvSpPr>
        <xdr:cNvPr id="53" name="Text 928"/>
        <xdr:cNvSpPr txBox="1">
          <a:spLocks noChangeArrowheads="1"/>
        </xdr:cNvSpPr>
      </xdr:nvSpPr>
      <xdr:spPr>
        <a:xfrm>
          <a:off x="3829050" y="1477327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User Cost</a:t>
          </a:r>
        </a:p>
      </xdr:txBody>
    </xdr:sp>
    <xdr:clientData fPrintsWithSheet="0"/>
  </xdr:twoCellAnchor>
  <xdr:twoCellAnchor>
    <xdr:from>
      <xdr:col>8</xdr:col>
      <xdr:colOff>419100</xdr:colOff>
      <xdr:row>90</xdr:row>
      <xdr:rowOff>161925</xdr:rowOff>
    </xdr:from>
    <xdr:to>
      <xdr:col>10</xdr:col>
      <xdr:colOff>466725</xdr:colOff>
      <xdr:row>91</xdr:row>
      <xdr:rowOff>304800</xdr:rowOff>
    </xdr:to>
    <xdr:sp>
      <xdr:nvSpPr>
        <xdr:cNvPr id="54" name="Text 931"/>
        <xdr:cNvSpPr txBox="1">
          <a:spLocks noChangeArrowheads="1"/>
        </xdr:cNvSpPr>
      </xdr:nvSpPr>
      <xdr:spPr>
        <a:xfrm>
          <a:off x="4610100" y="1477327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90</xdr:row>
      <xdr:rowOff>161925</xdr:rowOff>
    </xdr:from>
    <xdr:to>
      <xdr:col>5</xdr:col>
      <xdr:colOff>266700</xdr:colOff>
      <xdr:row>91</xdr:row>
      <xdr:rowOff>304800</xdr:rowOff>
    </xdr:to>
    <xdr:sp>
      <xdr:nvSpPr>
        <xdr:cNvPr id="55" name="Text 934"/>
        <xdr:cNvSpPr txBox="1">
          <a:spLocks noChangeArrowheads="1"/>
        </xdr:cNvSpPr>
      </xdr:nvSpPr>
      <xdr:spPr>
        <a:xfrm>
          <a:off x="2276475" y="1477327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193</xdr:row>
      <xdr:rowOff>161925</xdr:rowOff>
    </xdr:from>
    <xdr:to>
      <xdr:col>1</xdr:col>
      <xdr:colOff>400050</xdr:colOff>
      <xdr:row>194</xdr:row>
      <xdr:rowOff>304800</xdr:rowOff>
    </xdr:to>
    <xdr:sp>
      <xdr:nvSpPr>
        <xdr:cNvPr id="56" name="Text 939"/>
        <xdr:cNvSpPr txBox="1">
          <a:spLocks noChangeArrowheads="1"/>
        </xdr:cNvSpPr>
      </xdr:nvSpPr>
      <xdr:spPr>
        <a:xfrm>
          <a:off x="38100" y="31823025"/>
          <a:ext cx="40005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fPrintsWithSheet="0"/>
  </xdr:twoCellAnchor>
  <xdr:twoCellAnchor>
    <xdr:from>
      <xdr:col>10</xdr:col>
      <xdr:colOff>466725</xdr:colOff>
      <xdr:row>193</xdr:row>
      <xdr:rowOff>161925</xdr:rowOff>
    </xdr:from>
    <xdr:to>
      <xdr:col>18</xdr:col>
      <xdr:colOff>0</xdr:colOff>
      <xdr:row>194</xdr:row>
      <xdr:rowOff>304800</xdr:rowOff>
    </xdr:to>
    <xdr:sp>
      <xdr:nvSpPr>
        <xdr:cNvPr id="57" name="Text 940"/>
        <xdr:cNvSpPr txBox="1">
          <a:spLocks noChangeArrowheads="1"/>
        </xdr:cNvSpPr>
      </xdr:nvSpPr>
      <xdr:spPr>
        <a:xfrm>
          <a:off x="5381625" y="31823025"/>
          <a:ext cx="37242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xdr:col>
      <xdr:colOff>400050</xdr:colOff>
      <xdr:row>193</xdr:row>
      <xdr:rowOff>161925</xdr:rowOff>
    </xdr:from>
    <xdr:to>
      <xdr:col>4</xdr:col>
      <xdr:colOff>180975</xdr:colOff>
      <xdr:row>194</xdr:row>
      <xdr:rowOff>304800</xdr:rowOff>
    </xdr:to>
    <xdr:sp>
      <xdr:nvSpPr>
        <xdr:cNvPr id="58" name="Text 945"/>
        <xdr:cNvSpPr txBox="1">
          <a:spLocks noChangeArrowheads="1"/>
        </xdr:cNvSpPr>
      </xdr:nvSpPr>
      <xdr:spPr>
        <a:xfrm>
          <a:off x="438150" y="31823025"/>
          <a:ext cx="18383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193</xdr:row>
      <xdr:rowOff>161925</xdr:rowOff>
    </xdr:from>
    <xdr:to>
      <xdr:col>7</xdr:col>
      <xdr:colOff>323850</xdr:colOff>
      <xdr:row>194</xdr:row>
      <xdr:rowOff>304800</xdr:rowOff>
    </xdr:to>
    <xdr:sp>
      <xdr:nvSpPr>
        <xdr:cNvPr id="59" name="Text 948"/>
        <xdr:cNvSpPr txBox="1">
          <a:spLocks noChangeArrowheads="1"/>
        </xdr:cNvSpPr>
      </xdr:nvSpPr>
      <xdr:spPr>
        <a:xfrm>
          <a:off x="3048000" y="3182302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193</xdr:row>
      <xdr:rowOff>161925</xdr:rowOff>
    </xdr:from>
    <xdr:to>
      <xdr:col>8</xdr:col>
      <xdr:colOff>419100</xdr:colOff>
      <xdr:row>194</xdr:row>
      <xdr:rowOff>304800</xdr:rowOff>
    </xdr:to>
    <xdr:sp>
      <xdr:nvSpPr>
        <xdr:cNvPr id="60" name="Text 951"/>
        <xdr:cNvSpPr txBox="1">
          <a:spLocks noChangeArrowheads="1"/>
        </xdr:cNvSpPr>
      </xdr:nvSpPr>
      <xdr:spPr>
        <a:xfrm>
          <a:off x="3829050" y="3182302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User Cost</a:t>
          </a:r>
        </a:p>
      </xdr:txBody>
    </xdr:sp>
    <xdr:clientData fPrintsWithSheet="0"/>
  </xdr:twoCellAnchor>
  <xdr:twoCellAnchor>
    <xdr:from>
      <xdr:col>8</xdr:col>
      <xdr:colOff>419100</xdr:colOff>
      <xdr:row>193</xdr:row>
      <xdr:rowOff>161925</xdr:rowOff>
    </xdr:from>
    <xdr:to>
      <xdr:col>10</xdr:col>
      <xdr:colOff>466725</xdr:colOff>
      <xdr:row>194</xdr:row>
      <xdr:rowOff>304800</xdr:rowOff>
    </xdr:to>
    <xdr:sp>
      <xdr:nvSpPr>
        <xdr:cNvPr id="61" name="Text 954"/>
        <xdr:cNvSpPr txBox="1">
          <a:spLocks noChangeArrowheads="1"/>
        </xdr:cNvSpPr>
      </xdr:nvSpPr>
      <xdr:spPr>
        <a:xfrm>
          <a:off x="4610100" y="3182302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193</xdr:row>
      <xdr:rowOff>161925</xdr:rowOff>
    </xdr:from>
    <xdr:to>
      <xdr:col>5</xdr:col>
      <xdr:colOff>266700</xdr:colOff>
      <xdr:row>194</xdr:row>
      <xdr:rowOff>304800</xdr:rowOff>
    </xdr:to>
    <xdr:sp>
      <xdr:nvSpPr>
        <xdr:cNvPr id="62" name="Text 957"/>
        <xdr:cNvSpPr txBox="1">
          <a:spLocks noChangeArrowheads="1"/>
        </xdr:cNvSpPr>
      </xdr:nvSpPr>
      <xdr:spPr>
        <a:xfrm>
          <a:off x="2276475" y="3182302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265</xdr:row>
      <xdr:rowOff>0</xdr:rowOff>
    </xdr:from>
    <xdr:to>
      <xdr:col>1</xdr:col>
      <xdr:colOff>400050</xdr:colOff>
      <xdr:row>266</xdr:row>
      <xdr:rowOff>0</xdr:rowOff>
    </xdr:to>
    <xdr:sp>
      <xdr:nvSpPr>
        <xdr:cNvPr id="63" name="Text 962"/>
        <xdr:cNvSpPr txBox="1">
          <a:spLocks noChangeArrowheads="1"/>
        </xdr:cNvSpPr>
      </xdr:nvSpPr>
      <xdr:spPr>
        <a:xfrm>
          <a:off x="38100" y="43519725"/>
          <a:ext cx="40005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fPrintsWithSheet="0"/>
  </xdr:twoCellAnchor>
  <xdr:twoCellAnchor>
    <xdr:from>
      <xdr:col>10</xdr:col>
      <xdr:colOff>466725</xdr:colOff>
      <xdr:row>265</xdr:row>
      <xdr:rowOff>0</xdr:rowOff>
    </xdr:from>
    <xdr:to>
      <xdr:col>18</xdr:col>
      <xdr:colOff>0</xdr:colOff>
      <xdr:row>266</xdr:row>
      <xdr:rowOff>0</xdr:rowOff>
    </xdr:to>
    <xdr:sp>
      <xdr:nvSpPr>
        <xdr:cNvPr id="64" name="Text 963"/>
        <xdr:cNvSpPr txBox="1">
          <a:spLocks noChangeArrowheads="1"/>
        </xdr:cNvSpPr>
      </xdr:nvSpPr>
      <xdr:spPr>
        <a:xfrm>
          <a:off x="5381625" y="43519725"/>
          <a:ext cx="37242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xdr:col>
      <xdr:colOff>400050</xdr:colOff>
      <xdr:row>265</xdr:row>
      <xdr:rowOff>0</xdr:rowOff>
    </xdr:from>
    <xdr:to>
      <xdr:col>4</xdr:col>
      <xdr:colOff>180975</xdr:colOff>
      <xdr:row>266</xdr:row>
      <xdr:rowOff>0</xdr:rowOff>
    </xdr:to>
    <xdr:sp>
      <xdr:nvSpPr>
        <xdr:cNvPr id="65" name="Text 968"/>
        <xdr:cNvSpPr txBox="1">
          <a:spLocks noChangeArrowheads="1"/>
        </xdr:cNvSpPr>
      </xdr:nvSpPr>
      <xdr:spPr>
        <a:xfrm>
          <a:off x="438150" y="43519725"/>
          <a:ext cx="18383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265</xdr:row>
      <xdr:rowOff>0</xdr:rowOff>
    </xdr:from>
    <xdr:to>
      <xdr:col>7</xdr:col>
      <xdr:colOff>323850</xdr:colOff>
      <xdr:row>266</xdr:row>
      <xdr:rowOff>0</xdr:rowOff>
    </xdr:to>
    <xdr:sp>
      <xdr:nvSpPr>
        <xdr:cNvPr id="66" name="Text 971"/>
        <xdr:cNvSpPr txBox="1">
          <a:spLocks noChangeArrowheads="1"/>
        </xdr:cNvSpPr>
      </xdr:nvSpPr>
      <xdr:spPr>
        <a:xfrm>
          <a:off x="3048000" y="4351972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265</xdr:row>
      <xdr:rowOff>0</xdr:rowOff>
    </xdr:from>
    <xdr:to>
      <xdr:col>8</xdr:col>
      <xdr:colOff>419100</xdr:colOff>
      <xdr:row>266</xdr:row>
      <xdr:rowOff>0</xdr:rowOff>
    </xdr:to>
    <xdr:sp>
      <xdr:nvSpPr>
        <xdr:cNvPr id="67" name="Text 974"/>
        <xdr:cNvSpPr txBox="1">
          <a:spLocks noChangeArrowheads="1"/>
        </xdr:cNvSpPr>
      </xdr:nvSpPr>
      <xdr:spPr>
        <a:xfrm>
          <a:off x="3829050" y="4351972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User Cost</a:t>
          </a:r>
        </a:p>
      </xdr:txBody>
    </xdr:sp>
    <xdr:clientData fPrintsWithSheet="0"/>
  </xdr:twoCellAnchor>
  <xdr:twoCellAnchor>
    <xdr:from>
      <xdr:col>8</xdr:col>
      <xdr:colOff>419100</xdr:colOff>
      <xdr:row>265</xdr:row>
      <xdr:rowOff>0</xdr:rowOff>
    </xdr:from>
    <xdr:to>
      <xdr:col>10</xdr:col>
      <xdr:colOff>466725</xdr:colOff>
      <xdr:row>266</xdr:row>
      <xdr:rowOff>0</xdr:rowOff>
    </xdr:to>
    <xdr:sp>
      <xdr:nvSpPr>
        <xdr:cNvPr id="68" name="Text 977"/>
        <xdr:cNvSpPr txBox="1">
          <a:spLocks noChangeArrowheads="1"/>
        </xdr:cNvSpPr>
      </xdr:nvSpPr>
      <xdr:spPr>
        <a:xfrm>
          <a:off x="4610100" y="4351972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265</xdr:row>
      <xdr:rowOff>0</xdr:rowOff>
    </xdr:from>
    <xdr:to>
      <xdr:col>5</xdr:col>
      <xdr:colOff>266700</xdr:colOff>
      <xdr:row>266</xdr:row>
      <xdr:rowOff>0</xdr:rowOff>
    </xdr:to>
    <xdr:sp>
      <xdr:nvSpPr>
        <xdr:cNvPr id="69" name="Text 980"/>
        <xdr:cNvSpPr txBox="1">
          <a:spLocks noChangeArrowheads="1"/>
        </xdr:cNvSpPr>
      </xdr:nvSpPr>
      <xdr:spPr>
        <a:xfrm>
          <a:off x="2276475" y="4351972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337</xdr:row>
      <xdr:rowOff>0</xdr:rowOff>
    </xdr:from>
    <xdr:to>
      <xdr:col>1</xdr:col>
      <xdr:colOff>400050</xdr:colOff>
      <xdr:row>338</xdr:row>
      <xdr:rowOff>0</xdr:rowOff>
    </xdr:to>
    <xdr:sp>
      <xdr:nvSpPr>
        <xdr:cNvPr id="70" name="Text 985"/>
        <xdr:cNvSpPr txBox="1">
          <a:spLocks noChangeArrowheads="1"/>
        </xdr:cNvSpPr>
      </xdr:nvSpPr>
      <xdr:spPr>
        <a:xfrm>
          <a:off x="38100" y="55368825"/>
          <a:ext cx="40005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fPrintsWithSheet="0"/>
  </xdr:twoCellAnchor>
  <xdr:twoCellAnchor>
    <xdr:from>
      <xdr:col>10</xdr:col>
      <xdr:colOff>466725</xdr:colOff>
      <xdr:row>337</xdr:row>
      <xdr:rowOff>0</xdr:rowOff>
    </xdr:from>
    <xdr:to>
      <xdr:col>18</xdr:col>
      <xdr:colOff>0</xdr:colOff>
      <xdr:row>338</xdr:row>
      <xdr:rowOff>0</xdr:rowOff>
    </xdr:to>
    <xdr:sp>
      <xdr:nvSpPr>
        <xdr:cNvPr id="71" name="Text 986"/>
        <xdr:cNvSpPr txBox="1">
          <a:spLocks noChangeArrowheads="1"/>
        </xdr:cNvSpPr>
      </xdr:nvSpPr>
      <xdr:spPr>
        <a:xfrm>
          <a:off x="5381625" y="55368825"/>
          <a:ext cx="37242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xdr:col>
      <xdr:colOff>400050</xdr:colOff>
      <xdr:row>337</xdr:row>
      <xdr:rowOff>0</xdr:rowOff>
    </xdr:from>
    <xdr:to>
      <xdr:col>4</xdr:col>
      <xdr:colOff>180975</xdr:colOff>
      <xdr:row>338</xdr:row>
      <xdr:rowOff>0</xdr:rowOff>
    </xdr:to>
    <xdr:sp>
      <xdr:nvSpPr>
        <xdr:cNvPr id="72" name="Text 991"/>
        <xdr:cNvSpPr txBox="1">
          <a:spLocks noChangeArrowheads="1"/>
        </xdr:cNvSpPr>
      </xdr:nvSpPr>
      <xdr:spPr>
        <a:xfrm>
          <a:off x="438150" y="55368825"/>
          <a:ext cx="18383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337</xdr:row>
      <xdr:rowOff>0</xdr:rowOff>
    </xdr:from>
    <xdr:to>
      <xdr:col>7</xdr:col>
      <xdr:colOff>323850</xdr:colOff>
      <xdr:row>338</xdr:row>
      <xdr:rowOff>0</xdr:rowOff>
    </xdr:to>
    <xdr:sp>
      <xdr:nvSpPr>
        <xdr:cNvPr id="73" name="Text 994"/>
        <xdr:cNvSpPr txBox="1">
          <a:spLocks noChangeArrowheads="1"/>
        </xdr:cNvSpPr>
      </xdr:nvSpPr>
      <xdr:spPr>
        <a:xfrm>
          <a:off x="3048000" y="5536882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337</xdr:row>
      <xdr:rowOff>0</xdr:rowOff>
    </xdr:from>
    <xdr:to>
      <xdr:col>8</xdr:col>
      <xdr:colOff>419100</xdr:colOff>
      <xdr:row>338</xdr:row>
      <xdr:rowOff>0</xdr:rowOff>
    </xdr:to>
    <xdr:sp>
      <xdr:nvSpPr>
        <xdr:cNvPr id="74" name="Text 997"/>
        <xdr:cNvSpPr txBox="1">
          <a:spLocks noChangeArrowheads="1"/>
        </xdr:cNvSpPr>
      </xdr:nvSpPr>
      <xdr:spPr>
        <a:xfrm>
          <a:off x="3829050" y="5536882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User Cost</a:t>
          </a:r>
        </a:p>
      </xdr:txBody>
    </xdr:sp>
    <xdr:clientData fPrintsWithSheet="0"/>
  </xdr:twoCellAnchor>
  <xdr:twoCellAnchor>
    <xdr:from>
      <xdr:col>8</xdr:col>
      <xdr:colOff>419100</xdr:colOff>
      <xdr:row>337</xdr:row>
      <xdr:rowOff>0</xdr:rowOff>
    </xdr:from>
    <xdr:to>
      <xdr:col>10</xdr:col>
      <xdr:colOff>466725</xdr:colOff>
      <xdr:row>338</xdr:row>
      <xdr:rowOff>0</xdr:rowOff>
    </xdr:to>
    <xdr:sp>
      <xdr:nvSpPr>
        <xdr:cNvPr id="75" name="Text 1000"/>
        <xdr:cNvSpPr txBox="1">
          <a:spLocks noChangeArrowheads="1"/>
        </xdr:cNvSpPr>
      </xdr:nvSpPr>
      <xdr:spPr>
        <a:xfrm>
          <a:off x="4610100" y="5536882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337</xdr:row>
      <xdr:rowOff>0</xdr:rowOff>
    </xdr:from>
    <xdr:to>
      <xdr:col>5</xdr:col>
      <xdr:colOff>266700</xdr:colOff>
      <xdr:row>338</xdr:row>
      <xdr:rowOff>0</xdr:rowOff>
    </xdr:to>
    <xdr:sp>
      <xdr:nvSpPr>
        <xdr:cNvPr id="76" name="Text 1003"/>
        <xdr:cNvSpPr txBox="1">
          <a:spLocks noChangeArrowheads="1"/>
        </xdr:cNvSpPr>
      </xdr:nvSpPr>
      <xdr:spPr>
        <a:xfrm>
          <a:off x="2276475" y="5536882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9525</xdr:colOff>
      <xdr:row>160</xdr:row>
      <xdr:rowOff>0</xdr:rowOff>
    </xdr:from>
    <xdr:to>
      <xdr:col>2</xdr:col>
      <xdr:colOff>0</xdr:colOff>
      <xdr:row>161</xdr:row>
      <xdr:rowOff>0</xdr:rowOff>
    </xdr:to>
    <xdr:sp>
      <xdr:nvSpPr>
        <xdr:cNvPr id="77" name="Text 1010"/>
        <xdr:cNvSpPr txBox="1">
          <a:spLocks noChangeArrowheads="1"/>
        </xdr:cNvSpPr>
      </xdr:nvSpPr>
      <xdr:spPr>
        <a:xfrm>
          <a:off x="47625" y="26260425"/>
          <a:ext cx="676275"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Arial"/>
              <a:ea typeface="Arial"/>
              <a:cs typeface="Arial"/>
            </a:rPr>
            <a:t>Overall</a:t>
          </a:r>
        </a:p>
      </xdr:txBody>
    </xdr:sp>
    <xdr:clientData fPrintsWithSheet="0"/>
  </xdr:twoCellAnchor>
  <xdr:twoCellAnchor>
    <xdr:from>
      <xdr:col>10</xdr:col>
      <xdr:colOff>476250</xdr:colOff>
      <xdr:row>160</xdr:row>
      <xdr:rowOff>0</xdr:rowOff>
    </xdr:from>
    <xdr:to>
      <xdr:col>19</xdr:col>
      <xdr:colOff>19050</xdr:colOff>
      <xdr:row>161</xdr:row>
      <xdr:rowOff>0</xdr:rowOff>
    </xdr:to>
    <xdr:sp>
      <xdr:nvSpPr>
        <xdr:cNvPr id="78" name="Text 1011"/>
        <xdr:cNvSpPr txBox="1">
          <a:spLocks noChangeArrowheads="1"/>
        </xdr:cNvSpPr>
      </xdr:nvSpPr>
      <xdr:spPr>
        <a:xfrm>
          <a:off x="5391150" y="26260425"/>
          <a:ext cx="37814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2</xdr:col>
      <xdr:colOff>0</xdr:colOff>
      <xdr:row>160</xdr:row>
      <xdr:rowOff>0</xdr:rowOff>
    </xdr:from>
    <xdr:to>
      <xdr:col>4</xdr:col>
      <xdr:colOff>180975</xdr:colOff>
      <xdr:row>161</xdr:row>
      <xdr:rowOff>0</xdr:rowOff>
    </xdr:to>
    <xdr:sp>
      <xdr:nvSpPr>
        <xdr:cNvPr id="79" name="Text 1016"/>
        <xdr:cNvSpPr txBox="1">
          <a:spLocks noChangeArrowheads="1"/>
        </xdr:cNvSpPr>
      </xdr:nvSpPr>
      <xdr:spPr>
        <a:xfrm>
          <a:off x="723900" y="26260425"/>
          <a:ext cx="1552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160</xdr:row>
      <xdr:rowOff>0</xdr:rowOff>
    </xdr:from>
    <xdr:to>
      <xdr:col>7</xdr:col>
      <xdr:colOff>323850</xdr:colOff>
      <xdr:row>161</xdr:row>
      <xdr:rowOff>0</xdr:rowOff>
    </xdr:to>
    <xdr:sp>
      <xdr:nvSpPr>
        <xdr:cNvPr id="80" name="Text 1019"/>
        <xdr:cNvSpPr txBox="1">
          <a:spLocks noChangeArrowheads="1"/>
        </xdr:cNvSpPr>
      </xdr:nvSpPr>
      <xdr:spPr>
        <a:xfrm>
          <a:off x="3048000" y="2626042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160</xdr:row>
      <xdr:rowOff>0</xdr:rowOff>
    </xdr:from>
    <xdr:to>
      <xdr:col>8</xdr:col>
      <xdr:colOff>428625</xdr:colOff>
      <xdr:row>161</xdr:row>
      <xdr:rowOff>0</xdr:rowOff>
    </xdr:to>
    <xdr:sp>
      <xdr:nvSpPr>
        <xdr:cNvPr id="81" name="Text 1022"/>
        <xdr:cNvSpPr txBox="1">
          <a:spLocks noChangeArrowheads="1"/>
        </xdr:cNvSpPr>
      </xdr:nvSpPr>
      <xdr:spPr>
        <a:xfrm>
          <a:off x="3829050" y="26260425"/>
          <a:ext cx="790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User Cost</a:t>
          </a:r>
        </a:p>
      </xdr:txBody>
    </xdr:sp>
    <xdr:clientData fPrintsWithSheet="0"/>
  </xdr:twoCellAnchor>
  <xdr:twoCellAnchor>
    <xdr:from>
      <xdr:col>8</xdr:col>
      <xdr:colOff>428625</xdr:colOff>
      <xdr:row>160</xdr:row>
      <xdr:rowOff>0</xdr:rowOff>
    </xdr:from>
    <xdr:to>
      <xdr:col>10</xdr:col>
      <xdr:colOff>466725</xdr:colOff>
      <xdr:row>161</xdr:row>
      <xdr:rowOff>0</xdr:rowOff>
    </xdr:to>
    <xdr:sp>
      <xdr:nvSpPr>
        <xdr:cNvPr id="82" name="Text 1025"/>
        <xdr:cNvSpPr txBox="1">
          <a:spLocks noChangeArrowheads="1"/>
        </xdr:cNvSpPr>
      </xdr:nvSpPr>
      <xdr:spPr>
        <a:xfrm>
          <a:off x="4619625" y="26260425"/>
          <a:ext cx="7620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160</xdr:row>
      <xdr:rowOff>0</xdr:rowOff>
    </xdr:from>
    <xdr:to>
      <xdr:col>5</xdr:col>
      <xdr:colOff>266700</xdr:colOff>
      <xdr:row>161</xdr:row>
      <xdr:rowOff>0</xdr:rowOff>
    </xdr:to>
    <xdr:sp>
      <xdr:nvSpPr>
        <xdr:cNvPr id="83" name="Text 1028"/>
        <xdr:cNvSpPr txBox="1">
          <a:spLocks noChangeArrowheads="1"/>
        </xdr:cNvSpPr>
      </xdr:nvSpPr>
      <xdr:spPr>
        <a:xfrm>
          <a:off x="2276475" y="2626042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10</xdr:col>
      <xdr:colOff>466725</xdr:colOff>
      <xdr:row>374</xdr:row>
      <xdr:rowOff>161925</xdr:rowOff>
    </xdr:from>
    <xdr:to>
      <xdr:col>17</xdr:col>
      <xdr:colOff>485775</xdr:colOff>
      <xdr:row>376</xdr:row>
      <xdr:rowOff>0</xdr:rowOff>
    </xdr:to>
    <xdr:sp>
      <xdr:nvSpPr>
        <xdr:cNvPr id="84" name="Text 1102"/>
        <xdr:cNvSpPr txBox="1">
          <a:spLocks noChangeArrowheads="1"/>
        </xdr:cNvSpPr>
      </xdr:nvSpPr>
      <xdr:spPr>
        <a:xfrm>
          <a:off x="5381625" y="61636275"/>
          <a:ext cx="3524250" cy="314325"/>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xdr:col>
      <xdr:colOff>228600</xdr:colOff>
      <xdr:row>68</xdr:row>
      <xdr:rowOff>9525</xdr:rowOff>
    </xdr:from>
    <xdr:to>
      <xdr:col>1</xdr:col>
      <xdr:colOff>228600</xdr:colOff>
      <xdr:row>74</xdr:row>
      <xdr:rowOff>47625</xdr:rowOff>
    </xdr:to>
    <xdr:sp>
      <xdr:nvSpPr>
        <xdr:cNvPr id="85" name="Line 124"/>
        <xdr:cNvSpPr>
          <a:spLocks/>
        </xdr:cNvSpPr>
      </xdr:nvSpPr>
      <xdr:spPr>
        <a:xfrm flipV="1">
          <a:off x="266700" y="11077575"/>
          <a:ext cx="0" cy="1038225"/>
        </a:xfrm>
        <a:prstGeom prst="line">
          <a:avLst/>
        </a:prstGeom>
        <a:solidFill>
          <a:srgbClr val="FFFFFF"/>
        </a:solidFill>
        <a:ln w="1"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57150</xdr:colOff>
      <xdr:row>74</xdr:row>
      <xdr:rowOff>47625</xdr:rowOff>
    </xdr:from>
    <xdr:to>
      <xdr:col>2</xdr:col>
      <xdr:colOff>28575</xdr:colOff>
      <xdr:row>87</xdr:row>
      <xdr:rowOff>133350</xdr:rowOff>
    </xdr:to>
    <xdr:grpSp>
      <xdr:nvGrpSpPr>
        <xdr:cNvPr id="86" name="Group 130"/>
        <xdr:cNvGrpSpPr>
          <a:grpSpLocks/>
        </xdr:cNvGrpSpPr>
      </xdr:nvGrpSpPr>
      <xdr:grpSpPr>
        <a:xfrm>
          <a:off x="95250" y="12115800"/>
          <a:ext cx="657225" cy="2228850"/>
          <a:chOff x="-26664" y="-52090"/>
          <a:chExt cx="28782" cy="259"/>
        </a:xfrm>
        <a:solidFill>
          <a:srgbClr val="FFFFFF"/>
        </a:solidFill>
      </xdr:grpSpPr>
      <xdr:sp>
        <xdr:nvSpPr>
          <xdr:cNvPr id="87" name="Text 1147"/>
          <xdr:cNvSpPr txBox="1">
            <a:spLocks noChangeArrowheads="1"/>
          </xdr:cNvSpPr>
        </xdr:nvSpPr>
        <xdr:spPr>
          <a:xfrm>
            <a:off x="-26664" y="-52090"/>
            <a:ext cx="28782" cy="176"/>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You can copy these values into Impact Sheet
</a:t>
            </a:r>
          </a:p>
        </xdr:txBody>
      </xdr:sp>
      <xdr:sp>
        <xdr:nvSpPr>
          <xdr:cNvPr id="88" name="Line 125"/>
          <xdr:cNvSpPr>
            <a:spLocks/>
          </xdr:cNvSpPr>
        </xdr:nvSpPr>
        <xdr:spPr>
          <a:xfrm>
            <a:off x="-14029" y="-51914"/>
            <a:ext cx="0" cy="83"/>
          </a:xfrm>
          <a:prstGeom prst="line">
            <a:avLst/>
          </a:prstGeom>
          <a:solidFill>
            <a:srgbClr val="FFFFFF"/>
          </a:solidFill>
          <a:ln w="1"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20</xdr:row>
      <xdr:rowOff>19050</xdr:rowOff>
    </xdr:from>
    <xdr:to>
      <xdr:col>3</xdr:col>
      <xdr:colOff>5029200</xdr:colOff>
      <xdr:row>41</xdr:row>
      <xdr:rowOff>9525</xdr:rowOff>
    </xdr:to>
    <xdr:sp>
      <xdr:nvSpPr>
        <xdr:cNvPr id="1" name="Text 92"/>
        <xdr:cNvSpPr txBox="1">
          <a:spLocks noChangeArrowheads="1"/>
        </xdr:cNvSpPr>
      </xdr:nvSpPr>
      <xdr:spPr>
        <a:xfrm>
          <a:off x="3895725" y="6343650"/>
          <a:ext cx="5010150" cy="347662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General Comments:
</a:t>
          </a:r>
        </a:p>
      </xdr:txBody>
    </xdr:sp>
    <xdr:clientData/>
  </xdr:twoCellAnchor>
  <xdr:twoCellAnchor>
    <xdr:from>
      <xdr:col>0</xdr:col>
      <xdr:colOff>85725</xdr:colOff>
      <xdr:row>9</xdr:row>
      <xdr:rowOff>57150</xdr:rowOff>
    </xdr:from>
    <xdr:to>
      <xdr:col>0</xdr:col>
      <xdr:colOff>361950</xdr:colOff>
      <xdr:row>9</xdr:row>
      <xdr:rowOff>333375</xdr:rowOff>
    </xdr:to>
    <xdr:grpSp>
      <xdr:nvGrpSpPr>
        <xdr:cNvPr id="2" name="Group 240"/>
        <xdr:cNvGrpSpPr>
          <a:grpSpLocks/>
        </xdr:cNvGrpSpPr>
      </xdr:nvGrpSpPr>
      <xdr:grpSpPr>
        <a:xfrm>
          <a:off x="85725" y="2743200"/>
          <a:ext cx="276225" cy="276225"/>
          <a:chOff x="-5794" y="-31"/>
          <a:chExt cx="4675" cy="25"/>
        </a:xfrm>
        <a:solidFill>
          <a:srgbClr val="FFFFFF"/>
        </a:solidFill>
      </xdr:grpSpPr>
      <xdr:sp>
        <xdr:nvSpPr>
          <xdr:cNvPr id="3" name="Oval 241"/>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6"/>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4</a:t>
            </a:r>
          </a:p>
        </xdr:txBody>
      </xdr:sp>
    </xdr:grpSp>
    <xdr:clientData/>
  </xdr:twoCellAnchor>
  <xdr:twoCellAnchor>
    <xdr:from>
      <xdr:col>0</xdr:col>
      <xdr:colOff>85725</xdr:colOff>
      <xdr:row>7</xdr:row>
      <xdr:rowOff>57150</xdr:rowOff>
    </xdr:from>
    <xdr:to>
      <xdr:col>0</xdr:col>
      <xdr:colOff>361950</xdr:colOff>
      <xdr:row>7</xdr:row>
      <xdr:rowOff>333375</xdr:rowOff>
    </xdr:to>
    <xdr:grpSp>
      <xdr:nvGrpSpPr>
        <xdr:cNvPr id="5" name="Group 243"/>
        <xdr:cNvGrpSpPr>
          <a:grpSpLocks/>
        </xdr:cNvGrpSpPr>
      </xdr:nvGrpSpPr>
      <xdr:grpSpPr>
        <a:xfrm>
          <a:off x="85725" y="1981200"/>
          <a:ext cx="276225" cy="276225"/>
          <a:chOff x="-5794" y="-31"/>
          <a:chExt cx="4675" cy="25"/>
        </a:xfrm>
        <a:solidFill>
          <a:srgbClr val="FFFFFF"/>
        </a:solidFill>
      </xdr:grpSpPr>
      <xdr:sp>
        <xdr:nvSpPr>
          <xdr:cNvPr id="6" name="Oval 244"/>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9"/>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0</a:t>
            </a:r>
          </a:p>
        </xdr:txBody>
      </xdr:sp>
    </xdr:grpSp>
    <xdr:clientData/>
  </xdr:twoCellAnchor>
  <xdr:twoCellAnchor>
    <xdr:from>
      <xdr:col>0</xdr:col>
      <xdr:colOff>85725</xdr:colOff>
      <xdr:row>8</xdr:row>
      <xdr:rowOff>57150</xdr:rowOff>
    </xdr:from>
    <xdr:to>
      <xdr:col>0</xdr:col>
      <xdr:colOff>361950</xdr:colOff>
      <xdr:row>8</xdr:row>
      <xdr:rowOff>333375</xdr:rowOff>
    </xdr:to>
    <xdr:grpSp>
      <xdr:nvGrpSpPr>
        <xdr:cNvPr id="8" name="Group 246"/>
        <xdr:cNvGrpSpPr>
          <a:grpSpLocks/>
        </xdr:cNvGrpSpPr>
      </xdr:nvGrpSpPr>
      <xdr:grpSpPr>
        <a:xfrm>
          <a:off x="85725" y="2362200"/>
          <a:ext cx="276225" cy="276225"/>
          <a:chOff x="-5794" y="-31"/>
          <a:chExt cx="4675" cy="25"/>
        </a:xfrm>
        <a:solidFill>
          <a:srgbClr val="FFFFFF"/>
        </a:solidFill>
      </xdr:grpSpPr>
      <xdr:sp>
        <xdr:nvSpPr>
          <xdr:cNvPr id="9" name="Oval 247"/>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12"/>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0</a:t>
            </a:r>
          </a:p>
        </xdr:txBody>
      </xdr:sp>
    </xdr:grpSp>
    <xdr:clientData/>
  </xdr:twoCellAnchor>
  <xdr:twoCellAnchor>
    <xdr:from>
      <xdr:col>0</xdr:col>
      <xdr:colOff>85725</xdr:colOff>
      <xdr:row>12</xdr:row>
      <xdr:rowOff>57150</xdr:rowOff>
    </xdr:from>
    <xdr:to>
      <xdr:col>0</xdr:col>
      <xdr:colOff>361950</xdr:colOff>
      <xdr:row>12</xdr:row>
      <xdr:rowOff>333375</xdr:rowOff>
    </xdr:to>
    <xdr:grpSp>
      <xdr:nvGrpSpPr>
        <xdr:cNvPr id="11" name="Group 249"/>
        <xdr:cNvGrpSpPr>
          <a:grpSpLocks/>
        </xdr:cNvGrpSpPr>
      </xdr:nvGrpSpPr>
      <xdr:grpSpPr>
        <a:xfrm>
          <a:off x="85725" y="3543300"/>
          <a:ext cx="276225" cy="276225"/>
          <a:chOff x="-5794" y="-31"/>
          <a:chExt cx="4675" cy="25"/>
        </a:xfrm>
        <a:solidFill>
          <a:srgbClr val="FFFFFF"/>
        </a:solidFill>
      </xdr:grpSpPr>
      <xdr:sp>
        <xdr:nvSpPr>
          <xdr:cNvPr id="12" name="Oval 250"/>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 15"/>
          <xdr:cNvSpPr txBox="1">
            <a:spLocks noChangeArrowheads="1"/>
          </xdr:cNvSpPr>
        </xdr:nvSpPr>
        <xdr:spPr>
          <a:xfrm>
            <a:off x="-4859" y="-31"/>
            <a:ext cx="2992" cy="25"/>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1</a:t>
            </a:r>
          </a:p>
        </xdr:txBody>
      </xdr:sp>
    </xdr:grpSp>
    <xdr:clientData/>
  </xdr:twoCellAnchor>
  <xdr:twoCellAnchor>
    <xdr:from>
      <xdr:col>0</xdr:col>
      <xdr:colOff>85725</xdr:colOff>
      <xdr:row>13</xdr:row>
      <xdr:rowOff>57150</xdr:rowOff>
    </xdr:from>
    <xdr:to>
      <xdr:col>0</xdr:col>
      <xdr:colOff>361950</xdr:colOff>
      <xdr:row>13</xdr:row>
      <xdr:rowOff>333375</xdr:rowOff>
    </xdr:to>
    <xdr:grpSp>
      <xdr:nvGrpSpPr>
        <xdr:cNvPr id="14" name="Group 252"/>
        <xdr:cNvGrpSpPr>
          <a:grpSpLocks/>
        </xdr:cNvGrpSpPr>
      </xdr:nvGrpSpPr>
      <xdr:grpSpPr>
        <a:xfrm>
          <a:off x="85725" y="3924300"/>
          <a:ext cx="276225" cy="276225"/>
          <a:chOff x="-5794" y="-31"/>
          <a:chExt cx="4675" cy="25"/>
        </a:xfrm>
        <a:solidFill>
          <a:srgbClr val="FFFFFF"/>
        </a:solidFill>
      </xdr:grpSpPr>
      <xdr:sp>
        <xdr:nvSpPr>
          <xdr:cNvPr id="15" name="Oval 253"/>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 18"/>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1</a:t>
            </a:r>
          </a:p>
        </xdr:txBody>
      </xdr:sp>
    </xdr:grpSp>
    <xdr:clientData/>
  </xdr:twoCellAnchor>
  <xdr:twoCellAnchor>
    <xdr:from>
      <xdr:col>0</xdr:col>
      <xdr:colOff>85725</xdr:colOff>
      <xdr:row>14</xdr:row>
      <xdr:rowOff>57150</xdr:rowOff>
    </xdr:from>
    <xdr:to>
      <xdr:col>0</xdr:col>
      <xdr:colOff>361950</xdr:colOff>
      <xdr:row>14</xdr:row>
      <xdr:rowOff>333375</xdr:rowOff>
    </xdr:to>
    <xdr:grpSp>
      <xdr:nvGrpSpPr>
        <xdr:cNvPr id="17" name="Group 255"/>
        <xdr:cNvGrpSpPr>
          <a:grpSpLocks/>
        </xdr:cNvGrpSpPr>
      </xdr:nvGrpSpPr>
      <xdr:grpSpPr>
        <a:xfrm>
          <a:off x="85725" y="4305300"/>
          <a:ext cx="276225" cy="276225"/>
          <a:chOff x="-5794" y="-31"/>
          <a:chExt cx="4675" cy="25"/>
        </a:xfrm>
        <a:solidFill>
          <a:srgbClr val="FFFFFF"/>
        </a:solidFill>
      </xdr:grpSpPr>
      <xdr:sp>
        <xdr:nvSpPr>
          <xdr:cNvPr id="18" name="Oval 256"/>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 21"/>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1</a:t>
            </a:r>
          </a:p>
        </xdr:txBody>
      </xdr:sp>
    </xdr:grpSp>
    <xdr:clientData/>
  </xdr:twoCellAnchor>
  <xdr:twoCellAnchor>
    <xdr:from>
      <xdr:col>0</xdr:col>
      <xdr:colOff>85725</xdr:colOff>
      <xdr:row>15</xdr:row>
      <xdr:rowOff>57150</xdr:rowOff>
    </xdr:from>
    <xdr:to>
      <xdr:col>0</xdr:col>
      <xdr:colOff>361950</xdr:colOff>
      <xdr:row>15</xdr:row>
      <xdr:rowOff>333375</xdr:rowOff>
    </xdr:to>
    <xdr:grpSp>
      <xdr:nvGrpSpPr>
        <xdr:cNvPr id="20" name="Group 258"/>
        <xdr:cNvGrpSpPr>
          <a:grpSpLocks/>
        </xdr:cNvGrpSpPr>
      </xdr:nvGrpSpPr>
      <xdr:grpSpPr>
        <a:xfrm>
          <a:off x="85725" y="4686300"/>
          <a:ext cx="276225" cy="276225"/>
          <a:chOff x="-5794" y="-31"/>
          <a:chExt cx="4675" cy="25"/>
        </a:xfrm>
        <a:solidFill>
          <a:srgbClr val="FFFFFF"/>
        </a:solidFill>
      </xdr:grpSpPr>
      <xdr:sp>
        <xdr:nvSpPr>
          <xdr:cNvPr id="21" name="Oval 259"/>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 24"/>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1</a:t>
            </a:r>
          </a:p>
        </xdr:txBody>
      </xdr:sp>
    </xdr:grpSp>
    <xdr:clientData/>
  </xdr:twoCellAnchor>
  <xdr:twoCellAnchor>
    <xdr:from>
      <xdr:col>0</xdr:col>
      <xdr:colOff>85725</xdr:colOff>
      <xdr:row>17</xdr:row>
      <xdr:rowOff>57150</xdr:rowOff>
    </xdr:from>
    <xdr:to>
      <xdr:col>0</xdr:col>
      <xdr:colOff>361950</xdr:colOff>
      <xdr:row>17</xdr:row>
      <xdr:rowOff>333375</xdr:rowOff>
    </xdr:to>
    <xdr:grpSp>
      <xdr:nvGrpSpPr>
        <xdr:cNvPr id="23" name="Group 261"/>
        <xdr:cNvGrpSpPr>
          <a:grpSpLocks/>
        </xdr:cNvGrpSpPr>
      </xdr:nvGrpSpPr>
      <xdr:grpSpPr>
        <a:xfrm>
          <a:off x="85725" y="5238750"/>
          <a:ext cx="276225" cy="276225"/>
          <a:chOff x="-5794" y="-31"/>
          <a:chExt cx="4675" cy="25"/>
        </a:xfrm>
        <a:solidFill>
          <a:srgbClr val="FFFFFF"/>
        </a:solidFill>
      </xdr:grpSpPr>
      <xdr:sp>
        <xdr:nvSpPr>
          <xdr:cNvPr id="24" name="Oval 262"/>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Text 27"/>
          <xdr:cNvSpPr txBox="1">
            <a:spLocks noChangeArrowheads="1"/>
          </xdr:cNvSpPr>
        </xdr:nvSpPr>
        <xdr:spPr>
          <a:xfrm>
            <a:off x="-4859" y="-31"/>
            <a:ext cx="2992" cy="25"/>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2</a:t>
            </a:r>
          </a:p>
        </xdr:txBody>
      </xdr:sp>
    </xdr:grpSp>
    <xdr:clientData/>
  </xdr:twoCellAnchor>
  <xdr:twoCellAnchor>
    <xdr:from>
      <xdr:col>0</xdr:col>
      <xdr:colOff>85725</xdr:colOff>
      <xdr:row>18</xdr:row>
      <xdr:rowOff>57150</xdr:rowOff>
    </xdr:from>
    <xdr:to>
      <xdr:col>0</xdr:col>
      <xdr:colOff>361950</xdr:colOff>
      <xdr:row>18</xdr:row>
      <xdr:rowOff>333375</xdr:rowOff>
    </xdr:to>
    <xdr:grpSp>
      <xdr:nvGrpSpPr>
        <xdr:cNvPr id="26" name="Group 264"/>
        <xdr:cNvGrpSpPr>
          <a:grpSpLocks/>
        </xdr:cNvGrpSpPr>
      </xdr:nvGrpSpPr>
      <xdr:grpSpPr>
        <a:xfrm>
          <a:off x="85725" y="5619750"/>
          <a:ext cx="276225" cy="276225"/>
          <a:chOff x="-5794" y="-31"/>
          <a:chExt cx="4675" cy="25"/>
        </a:xfrm>
        <a:solidFill>
          <a:srgbClr val="FFFFFF"/>
        </a:solidFill>
      </xdr:grpSpPr>
      <xdr:sp>
        <xdr:nvSpPr>
          <xdr:cNvPr id="27" name="Oval 265"/>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30"/>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3</a:t>
            </a:r>
          </a:p>
        </xdr:txBody>
      </xdr:sp>
    </xdr:grpSp>
    <xdr:clientData/>
  </xdr:twoCellAnchor>
  <xdr:twoCellAnchor>
    <xdr:from>
      <xdr:col>0</xdr:col>
      <xdr:colOff>85725</xdr:colOff>
      <xdr:row>47</xdr:row>
      <xdr:rowOff>57150</xdr:rowOff>
    </xdr:from>
    <xdr:to>
      <xdr:col>0</xdr:col>
      <xdr:colOff>361950</xdr:colOff>
      <xdr:row>47</xdr:row>
      <xdr:rowOff>333375</xdr:rowOff>
    </xdr:to>
    <xdr:grpSp>
      <xdr:nvGrpSpPr>
        <xdr:cNvPr id="29" name="Group 267"/>
        <xdr:cNvGrpSpPr>
          <a:grpSpLocks/>
        </xdr:cNvGrpSpPr>
      </xdr:nvGrpSpPr>
      <xdr:grpSpPr>
        <a:xfrm>
          <a:off x="85725" y="11944350"/>
          <a:ext cx="276225" cy="276225"/>
          <a:chOff x="-5794" y="-26421"/>
          <a:chExt cx="4675" cy="25"/>
        </a:xfrm>
        <a:solidFill>
          <a:srgbClr val="FFFFFF"/>
        </a:solidFill>
      </xdr:grpSpPr>
      <xdr:sp>
        <xdr:nvSpPr>
          <xdr:cNvPr id="30" name="Oval 268"/>
          <xdr:cNvSpPr>
            <a:spLocks/>
          </xdr:cNvSpPr>
        </xdr:nvSpPr>
        <xdr:spPr>
          <a:xfrm>
            <a:off x="-5794" y="-2642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Text 33"/>
          <xdr:cNvSpPr txBox="1">
            <a:spLocks noChangeArrowheads="1"/>
          </xdr:cNvSpPr>
        </xdr:nvSpPr>
        <xdr:spPr>
          <a:xfrm>
            <a:off x="-4859" y="-2642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5</a:t>
            </a:r>
          </a:p>
        </xdr:txBody>
      </xdr:sp>
    </xdr:grpSp>
    <xdr:clientData/>
  </xdr:twoCellAnchor>
  <xdr:twoCellAnchor>
    <xdr:from>
      <xdr:col>0</xdr:col>
      <xdr:colOff>85725</xdr:colOff>
      <xdr:row>48</xdr:row>
      <xdr:rowOff>57150</xdr:rowOff>
    </xdr:from>
    <xdr:to>
      <xdr:col>0</xdr:col>
      <xdr:colOff>361950</xdr:colOff>
      <xdr:row>48</xdr:row>
      <xdr:rowOff>333375</xdr:rowOff>
    </xdr:to>
    <xdr:grpSp>
      <xdr:nvGrpSpPr>
        <xdr:cNvPr id="32" name="Group 270"/>
        <xdr:cNvGrpSpPr>
          <a:grpSpLocks/>
        </xdr:cNvGrpSpPr>
      </xdr:nvGrpSpPr>
      <xdr:grpSpPr>
        <a:xfrm>
          <a:off x="85725" y="12325350"/>
          <a:ext cx="276225" cy="276225"/>
          <a:chOff x="-5794" y="-26421"/>
          <a:chExt cx="4675" cy="25"/>
        </a:xfrm>
        <a:solidFill>
          <a:srgbClr val="FFFFFF"/>
        </a:solidFill>
      </xdr:grpSpPr>
      <xdr:sp>
        <xdr:nvSpPr>
          <xdr:cNvPr id="33" name="Oval 271"/>
          <xdr:cNvSpPr>
            <a:spLocks/>
          </xdr:cNvSpPr>
        </xdr:nvSpPr>
        <xdr:spPr>
          <a:xfrm>
            <a:off x="-5794" y="-2642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Text 36"/>
          <xdr:cNvSpPr txBox="1">
            <a:spLocks noChangeArrowheads="1"/>
          </xdr:cNvSpPr>
        </xdr:nvSpPr>
        <xdr:spPr>
          <a:xfrm>
            <a:off x="-4859" y="-2642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5</a:t>
            </a:r>
          </a:p>
        </xdr:txBody>
      </xdr:sp>
    </xdr:grpSp>
    <xdr:clientData/>
  </xdr:twoCellAnchor>
  <xdr:twoCellAnchor>
    <xdr:from>
      <xdr:col>0</xdr:col>
      <xdr:colOff>85725</xdr:colOff>
      <xdr:row>49</xdr:row>
      <xdr:rowOff>57150</xdr:rowOff>
    </xdr:from>
    <xdr:to>
      <xdr:col>0</xdr:col>
      <xdr:colOff>361950</xdr:colOff>
      <xdr:row>49</xdr:row>
      <xdr:rowOff>333375</xdr:rowOff>
    </xdr:to>
    <xdr:grpSp>
      <xdr:nvGrpSpPr>
        <xdr:cNvPr id="35" name="Group 273"/>
        <xdr:cNvGrpSpPr>
          <a:grpSpLocks/>
        </xdr:cNvGrpSpPr>
      </xdr:nvGrpSpPr>
      <xdr:grpSpPr>
        <a:xfrm>
          <a:off x="85725" y="12706350"/>
          <a:ext cx="276225" cy="276225"/>
          <a:chOff x="-5794" y="-26421"/>
          <a:chExt cx="4675" cy="25"/>
        </a:xfrm>
        <a:solidFill>
          <a:srgbClr val="FFFFFF"/>
        </a:solidFill>
      </xdr:grpSpPr>
      <xdr:sp>
        <xdr:nvSpPr>
          <xdr:cNvPr id="36" name="Oval 274"/>
          <xdr:cNvSpPr>
            <a:spLocks/>
          </xdr:cNvSpPr>
        </xdr:nvSpPr>
        <xdr:spPr>
          <a:xfrm>
            <a:off x="-5794" y="-2642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Text 39"/>
          <xdr:cNvSpPr txBox="1">
            <a:spLocks noChangeArrowheads="1"/>
          </xdr:cNvSpPr>
        </xdr:nvSpPr>
        <xdr:spPr>
          <a:xfrm>
            <a:off x="-4859" y="-2642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5</a:t>
            </a:r>
          </a:p>
        </xdr:txBody>
      </xdr:sp>
    </xdr:grpSp>
    <xdr:clientData/>
  </xdr:twoCellAnchor>
  <xdr:twoCellAnchor>
    <xdr:from>
      <xdr:col>0</xdr:col>
      <xdr:colOff>85725</xdr:colOff>
      <xdr:row>50</xdr:row>
      <xdr:rowOff>57150</xdr:rowOff>
    </xdr:from>
    <xdr:to>
      <xdr:col>0</xdr:col>
      <xdr:colOff>361950</xdr:colOff>
      <xdr:row>50</xdr:row>
      <xdr:rowOff>333375</xdr:rowOff>
    </xdr:to>
    <xdr:grpSp>
      <xdr:nvGrpSpPr>
        <xdr:cNvPr id="38" name="Group 276"/>
        <xdr:cNvGrpSpPr>
          <a:grpSpLocks/>
        </xdr:cNvGrpSpPr>
      </xdr:nvGrpSpPr>
      <xdr:grpSpPr>
        <a:xfrm>
          <a:off x="85725" y="13087350"/>
          <a:ext cx="276225" cy="276225"/>
          <a:chOff x="-5794" y="-26421"/>
          <a:chExt cx="4675" cy="25"/>
        </a:xfrm>
        <a:solidFill>
          <a:srgbClr val="FFFFFF"/>
        </a:solidFill>
      </xdr:grpSpPr>
      <xdr:sp>
        <xdr:nvSpPr>
          <xdr:cNvPr id="39" name="Oval 277"/>
          <xdr:cNvSpPr>
            <a:spLocks/>
          </xdr:cNvSpPr>
        </xdr:nvSpPr>
        <xdr:spPr>
          <a:xfrm>
            <a:off x="-5794" y="-2642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Text 42"/>
          <xdr:cNvSpPr txBox="1">
            <a:spLocks noChangeArrowheads="1"/>
          </xdr:cNvSpPr>
        </xdr:nvSpPr>
        <xdr:spPr>
          <a:xfrm>
            <a:off x="-4859" y="-2642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5</a:t>
            </a:r>
          </a:p>
        </xdr:txBody>
      </xdr:sp>
    </xdr:grpSp>
    <xdr:clientData/>
  </xdr:twoCellAnchor>
  <xdr:twoCellAnchor>
    <xdr:from>
      <xdr:col>0</xdr:col>
      <xdr:colOff>76200</xdr:colOff>
      <xdr:row>43</xdr:row>
      <xdr:rowOff>38100</xdr:rowOff>
    </xdr:from>
    <xdr:to>
      <xdr:col>0</xdr:col>
      <xdr:colOff>352425</xdr:colOff>
      <xdr:row>43</xdr:row>
      <xdr:rowOff>314325</xdr:rowOff>
    </xdr:to>
    <xdr:grpSp>
      <xdr:nvGrpSpPr>
        <xdr:cNvPr id="41" name="Group 279"/>
        <xdr:cNvGrpSpPr>
          <a:grpSpLocks/>
        </xdr:cNvGrpSpPr>
      </xdr:nvGrpSpPr>
      <xdr:grpSpPr>
        <a:xfrm>
          <a:off x="76200" y="10401300"/>
          <a:ext cx="276225" cy="276225"/>
          <a:chOff x="-4672" y="-26423"/>
          <a:chExt cx="4675" cy="25"/>
        </a:xfrm>
        <a:solidFill>
          <a:srgbClr val="FFFFFF"/>
        </a:solidFill>
      </xdr:grpSpPr>
      <xdr:sp>
        <xdr:nvSpPr>
          <xdr:cNvPr id="42" name="Oval 280"/>
          <xdr:cNvSpPr>
            <a:spLocks/>
          </xdr:cNvSpPr>
        </xdr:nvSpPr>
        <xdr:spPr>
          <a:xfrm>
            <a:off x="-4672" y="-26423"/>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Text 45"/>
          <xdr:cNvSpPr txBox="1">
            <a:spLocks noChangeArrowheads="1"/>
          </xdr:cNvSpPr>
        </xdr:nvSpPr>
        <xdr:spPr>
          <a:xfrm>
            <a:off x="-3924" y="-26423"/>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6</a:t>
            </a:r>
          </a:p>
        </xdr:txBody>
      </xdr:sp>
    </xdr:grpSp>
    <xdr:clientData/>
  </xdr:twoCellAnchor>
  <xdr:twoCellAnchor>
    <xdr:from>
      <xdr:col>0</xdr:col>
      <xdr:colOff>76200</xdr:colOff>
      <xdr:row>44</xdr:row>
      <xdr:rowOff>38100</xdr:rowOff>
    </xdr:from>
    <xdr:to>
      <xdr:col>0</xdr:col>
      <xdr:colOff>352425</xdr:colOff>
      <xdr:row>44</xdr:row>
      <xdr:rowOff>314325</xdr:rowOff>
    </xdr:to>
    <xdr:grpSp>
      <xdr:nvGrpSpPr>
        <xdr:cNvPr id="44" name="Group 282"/>
        <xdr:cNvGrpSpPr>
          <a:grpSpLocks/>
        </xdr:cNvGrpSpPr>
      </xdr:nvGrpSpPr>
      <xdr:grpSpPr>
        <a:xfrm>
          <a:off x="76200" y="10782300"/>
          <a:ext cx="276225" cy="276225"/>
          <a:chOff x="-4672" y="-26423"/>
          <a:chExt cx="4675" cy="25"/>
        </a:xfrm>
        <a:solidFill>
          <a:srgbClr val="FFFFFF"/>
        </a:solidFill>
      </xdr:grpSpPr>
      <xdr:sp>
        <xdr:nvSpPr>
          <xdr:cNvPr id="45" name="Oval 283"/>
          <xdr:cNvSpPr>
            <a:spLocks/>
          </xdr:cNvSpPr>
        </xdr:nvSpPr>
        <xdr:spPr>
          <a:xfrm>
            <a:off x="-4672" y="-26423"/>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Text 48"/>
          <xdr:cNvSpPr txBox="1">
            <a:spLocks noChangeArrowheads="1"/>
          </xdr:cNvSpPr>
        </xdr:nvSpPr>
        <xdr:spPr>
          <a:xfrm>
            <a:off x="-3924" y="-26423"/>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6</a:t>
            </a:r>
          </a:p>
        </xdr:txBody>
      </xdr:sp>
    </xdr:grpSp>
    <xdr:clientData/>
  </xdr:twoCellAnchor>
  <xdr:twoCellAnchor>
    <xdr:from>
      <xdr:col>0</xdr:col>
      <xdr:colOff>76200</xdr:colOff>
      <xdr:row>45</xdr:row>
      <xdr:rowOff>38100</xdr:rowOff>
    </xdr:from>
    <xdr:to>
      <xdr:col>0</xdr:col>
      <xdr:colOff>352425</xdr:colOff>
      <xdr:row>45</xdr:row>
      <xdr:rowOff>314325</xdr:rowOff>
    </xdr:to>
    <xdr:grpSp>
      <xdr:nvGrpSpPr>
        <xdr:cNvPr id="47" name="Group 285"/>
        <xdr:cNvGrpSpPr>
          <a:grpSpLocks/>
        </xdr:cNvGrpSpPr>
      </xdr:nvGrpSpPr>
      <xdr:grpSpPr>
        <a:xfrm>
          <a:off x="76200" y="11163300"/>
          <a:ext cx="276225" cy="276225"/>
          <a:chOff x="-4672" y="-26423"/>
          <a:chExt cx="4675" cy="25"/>
        </a:xfrm>
        <a:solidFill>
          <a:srgbClr val="FFFFFF"/>
        </a:solidFill>
      </xdr:grpSpPr>
      <xdr:sp>
        <xdr:nvSpPr>
          <xdr:cNvPr id="48" name="Oval 286"/>
          <xdr:cNvSpPr>
            <a:spLocks/>
          </xdr:cNvSpPr>
        </xdr:nvSpPr>
        <xdr:spPr>
          <a:xfrm>
            <a:off x="-4672" y="-26423"/>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Text 51"/>
          <xdr:cNvSpPr txBox="1">
            <a:spLocks noChangeArrowheads="1"/>
          </xdr:cNvSpPr>
        </xdr:nvSpPr>
        <xdr:spPr>
          <a:xfrm>
            <a:off x="-3924" y="-26423"/>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6</a:t>
            </a:r>
          </a:p>
        </xdr:txBody>
      </xdr:sp>
    </xdr:grpSp>
    <xdr:clientData/>
  </xdr:twoCellAnchor>
  <xdr:twoCellAnchor>
    <xdr:from>
      <xdr:col>0</xdr:col>
      <xdr:colOff>76200</xdr:colOff>
      <xdr:row>46</xdr:row>
      <xdr:rowOff>38100</xdr:rowOff>
    </xdr:from>
    <xdr:to>
      <xdr:col>0</xdr:col>
      <xdr:colOff>352425</xdr:colOff>
      <xdr:row>46</xdr:row>
      <xdr:rowOff>314325</xdr:rowOff>
    </xdr:to>
    <xdr:grpSp>
      <xdr:nvGrpSpPr>
        <xdr:cNvPr id="50" name="Group 288"/>
        <xdr:cNvGrpSpPr>
          <a:grpSpLocks/>
        </xdr:cNvGrpSpPr>
      </xdr:nvGrpSpPr>
      <xdr:grpSpPr>
        <a:xfrm>
          <a:off x="76200" y="11544300"/>
          <a:ext cx="276225" cy="276225"/>
          <a:chOff x="-4672" y="-26423"/>
          <a:chExt cx="4675" cy="25"/>
        </a:xfrm>
        <a:solidFill>
          <a:srgbClr val="FFFFFF"/>
        </a:solidFill>
      </xdr:grpSpPr>
      <xdr:sp>
        <xdr:nvSpPr>
          <xdr:cNvPr id="51" name="Oval 289"/>
          <xdr:cNvSpPr>
            <a:spLocks/>
          </xdr:cNvSpPr>
        </xdr:nvSpPr>
        <xdr:spPr>
          <a:xfrm>
            <a:off x="-4672" y="-26423"/>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Text 54"/>
          <xdr:cNvSpPr txBox="1">
            <a:spLocks noChangeArrowheads="1"/>
          </xdr:cNvSpPr>
        </xdr:nvSpPr>
        <xdr:spPr>
          <a:xfrm>
            <a:off x="-3924" y="-26423"/>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6</a:t>
            </a:r>
          </a:p>
        </xdr:txBody>
      </xdr:sp>
    </xdr:grpSp>
    <xdr:clientData/>
  </xdr:twoCellAnchor>
  <xdr:twoCellAnchor>
    <xdr:from>
      <xdr:col>0</xdr:col>
      <xdr:colOff>85725</xdr:colOff>
      <xdr:row>42</xdr:row>
      <xdr:rowOff>57150</xdr:rowOff>
    </xdr:from>
    <xdr:to>
      <xdr:col>0</xdr:col>
      <xdr:colOff>361950</xdr:colOff>
      <xdr:row>42</xdr:row>
      <xdr:rowOff>333375</xdr:rowOff>
    </xdr:to>
    <xdr:grpSp>
      <xdr:nvGrpSpPr>
        <xdr:cNvPr id="53" name="Group 291"/>
        <xdr:cNvGrpSpPr>
          <a:grpSpLocks/>
        </xdr:cNvGrpSpPr>
      </xdr:nvGrpSpPr>
      <xdr:grpSpPr>
        <a:xfrm>
          <a:off x="85725" y="10039350"/>
          <a:ext cx="276225" cy="276225"/>
          <a:chOff x="-5794" y="-26421"/>
          <a:chExt cx="4675" cy="25"/>
        </a:xfrm>
        <a:solidFill>
          <a:srgbClr val="FFFFFF"/>
        </a:solidFill>
      </xdr:grpSpPr>
      <xdr:sp>
        <xdr:nvSpPr>
          <xdr:cNvPr id="54" name="Oval 292"/>
          <xdr:cNvSpPr>
            <a:spLocks/>
          </xdr:cNvSpPr>
        </xdr:nvSpPr>
        <xdr:spPr>
          <a:xfrm>
            <a:off x="-5794" y="-2642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Text 57"/>
          <xdr:cNvSpPr txBox="1">
            <a:spLocks noChangeArrowheads="1"/>
          </xdr:cNvSpPr>
        </xdr:nvSpPr>
        <xdr:spPr>
          <a:xfrm>
            <a:off x="-4859" y="-26421"/>
            <a:ext cx="2992" cy="25"/>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2</a:t>
            </a:r>
          </a:p>
        </xdr:txBody>
      </xdr:sp>
    </xdr:grpSp>
    <xdr:clientData/>
  </xdr:twoCellAnchor>
  <xdr:twoCellAnchor>
    <xdr:from>
      <xdr:col>0</xdr:col>
      <xdr:colOff>85725</xdr:colOff>
      <xdr:row>19</xdr:row>
      <xdr:rowOff>57150</xdr:rowOff>
    </xdr:from>
    <xdr:to>
      <xdr:col>0</xdr:col>
      <xdr:colOff>361950</xdr:colOff>
      <xdr:row>19</xdr:row>
      <xdr:rowOff>333375</xdr:rowOff>
    </xdr:to>
    <xdr:grpSp>
      <xdr:nvGrpSpPr>
        <xdr:cNvPr id="56" name="Group 294"/>
        <xdr:cNvGrpSpPr>
          <a:grpSpLocks/>
        </xdr:cNvGrpSpPr>
      </xdr:nvGrpSpPr>
      <xdr:grpSpPr>
        <a:xfrm>
          <a:off x="85725" y="6000750"/>
          <a:ext cx="276225" cy="276225"/>
          <a:chOff x="-5794" y="-31"/>
          <a:chExt cx="4675" cy="25"/>
        </a:xfrm>
        <a:solidFill>
          <a:srgbClr val="FFFFFF"/>
        </a:solidFill>
      </xdr:grpSpPr>
      <xdr:sp>
        <xdr:nvSpPr>
          <xdr:cNvPr id="57" name="Oval 295"/>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Text 60"/>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3</a:t>
            </a:r>
          </a:p>
        </xdr:txBody>
      </xdr:sp>
    </xdr:grpSp>
    <xdr:clientData/>
  </xdr:twoCellAnchor>
  <xdr:twoCellAnchor>
    <xdr:from>
      <xdr:col>0</xdr:col>
      <xdr:colOff>85725</xdr:colOff>
      <xdr:row>55</xdr:row>
      <xdr:rowOff>57150</xdr:rowOff>
    </xdr:from>
    <xdr:to>
      <xdr:col>0</xdr:col>
      <xdr:colOff>361950</xdr:colOff>
      <xdr:row>55</xdr:row>
      <xdr:rowOff>333375</xdr:rowOff>
    </xdr:to>
    <xdr:grpSp>
      <xdr:nvGrpSpPr>
        <xdr:cNvPr id="59" name="Group 297"/>
        <xdr:cNvGrpSpPr>
          <a:grpSpLocks/>
        </xdr:cNvGrpSpPr>
      </xdr:nvGrpSpPr>
      <xdr:grpSpPr>
        <a:xfrm>
          <a:off x="85725" y="14363700"/>
          <a:ext cx="276225" cy="276225"/>
          <a:chOff x="-5794" y="-26421"/>
          <a:chExt cx="4675" cy="26"/>
        </a:xfrm>
        <a:solidFill>
          <a:srgbClr val="FFFFFF"/>
        </a:solidFill>
      </xdr:grpSpPr>
      <xdr:sp>
        <xdr:nvSpPr>
          <xdr:cNvPr id="60" name="Oval 298"/>
          <xdr:cNvSpPr>
            <a:spLocks/>
          </xdr:cNvSpPr>
        </xdr:nvSpPr>
        <xdr:spPr>
          <a:xfrm>
            <a:off x="-5794" y="-26421"/>
            <a:ext cx="4675" cy="26"/>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Text 64"/>
          <xdr:cNvSpPr txBox="1">
            <a:spLocks noChangeArrowheads="1"/>
          </xdr:cNvSpPr>
        </xdr:nvSpPr>
        <xdr:spPr>
          <a:xfrm>
            <a:off x="-4672" y="-26421"/>
            <a:ext cx="2992" cy="26"/>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1</a:t>
            </a:r>
          </a:p>
        </xdr:txBody>
      </xdr:sp>
    </xdr:grpSp>
    <xdr:clientData/>
  </xdr:twoCellAnchor>
  <xdr:twoCellAnchor>
    <xdr:from>
      <xdr:col>0</xdr:col>
      <xdr:colOff>85725</xdr:colOff>
      <xdr:row>6</xdr:row>
      <xdr:rowOff>57150</xdr:rowOff>
    </xdr:from>
    <xdr:to>
      <xdr:col>0</xdr:col>
      <xdr:colOff>361950</xdr:colOff>
      <xdr:row>6</xdr:row>
      <xdr:rowOff>333375</xdr:rowOff>
    </xdr:to>
    <xdr:grpSp>
      <xdr:nvGrpSpPr>
        <xdr:cNvPr id="62" name="Group 300"/>
        <xdr:cNvGrpSpPr>
          <a:grpSpLocks/>
        </xdr:cNvGrpSpPr>
      </xdr:nvGrpSpPr>
      <xdr:grpSpPr>
        <a:xfrm>
          <a:off x="85725" y="1600200"/>
          <a:ext cx="276225" cy="276225"/>
          <a:chOff x="-5794" y="-31"/>
          <a:chExt cx="4675" cy="25"/>
        </a:xfrm>
        <a:solidFill>
          <a:srgbClr val="FFFFFF"/>
        </a:solidFill>
      </xdr:grpSpPr>
      <xdr:sp>
        <xdr:nvSpPr>
          <xdr:cNvPr id="63" name="Oval 301"/>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Text 15"/>
          <xdr:cNvSpPr txBox="1">
            <a:spLocks noChangeArrowheads="1"/>
          </xdr:cNvSpPr>
        </xdr:nvSpPr>
        <xdr:spPr>
          <a:xfrm>
            <a:off x="-4859" y="-31"/>
            <a:ext cx="2992" cy="25"/>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1</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23</xdr:row>
      <xdr:rowOff>0</xdr:rowOff>
    </xdr:from>
    <xdr:to>
      <xdr:col>18</xdr:col>
      <xdr:colOff>0</xdr:colOff>
      <xdr:row>23</xdr:row>
      <xdr:rowOff>0</xdr:rowOff>
    </xdr:to>
    <xdr:sp>
      <xdr:nvSpPr>
        <xdr:cNvPr id="1" name="Oval 2"/>
        <xdr:cNvSpPr>
          <a:spLocks/>
        </xdr:cNvSpPr>
      </xdr:nvSpPr>
      <xdr:spPr>
        <a:xfrm>
          <a:off x="1296352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23</xdr:row>
      <xdr:rowOff>0</xdr:rowOff>
    </xdr:from>
    <xdr:to>
      <xdr:col>19</xdr:col>
      <xdr:colOff>0</xdr:colOff>
      <xdr:row>23</xdr:row>
      <xdr:rowOff>0</xdr:rowOff>
    </xdr:to>
    <xdr:sp>
      <xdr:nvSpPr>
        <xdr:cNvPr id="2" name="Oval 3"/>
        <xdr:cNvSpPr>
          <a:spLocks/>
        </xdr:cNvSpPr>
      </xdr:nvSpPr>
      <xdr:spPr>
        <a:xfrm>
          <a:off x="1347787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23</xdr:row>
      <xdr:rowOff>0</xdr:rowOff>
    </xdr:from>
    <xdr:to>
      <xdr:col>5</xdr:col>
      <xdr:colOff>0</xdr:colOff>
      <xdr:row>23</xdr:row>
      <xdr:rowOff>0</xdr:rowOff>
    </xdr:to>
    <xdr:sp>
      <xdr:nvSpPr>
        <xdr:cNvPr id="3" name="Oval 4"/>
        <xdr:cNvSpPr>
          <a:spLocks/>
        </xdr:cNvSpPr>
      </xdr:nvSpPr>
      <xdr:spPr>
        <a:xfrm>
          <a:off x="36766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23</xdr:row>
      <xdr:rowOff>0</xdr:rowOff>
    </xdr:from>
    <xdr:to>
      <xdr:col>18</xdr:col>
      <xdr:colOff>0</xdr:colOff>
      <xdr:row>23</xdr:row>
      <xdr:rowOff>0</xdr:rowOff>
    </xdr:to>
    <xdr:sp>
      <xdr:nvSpPr>
        <xdr:cNvPr id="4" name="Oval 5"/>
        <xdr:cNvSpPr>
          <a:spLocks/>
        </xdr:cNvSpPr>
      </xdr:nvSpPr>
      <xdr:spPr>
        <a:xfrm>
          <a:off x="1296352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23</xdr:row>
      <xdr:rowOff>0</xdr:rowOff>
    </xdr:from>
    <xdr:to>
      <xdr:col>5</xdr:col>
      <xdr:colOff>0</xdr:colOff>
      <xdr:row>23</xdr:row>
      <xdr:rowOff>0</xdr:rowOff>
    </xdr:to>
    <xdr:sp>
      <xdr:nvSpPr>
        <xdr:cNvPr id="5" name="Oval 6"/>
        <xdr:cNvSpPr>
          <a:spLocks/>
        </xdr:cNvSpPr>
      </xdr:nvSpPr>
      <xdr:spPr>
        <a:xfrm>
          <a:off x="36766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23</xdr:row>
      <xdr:rowOff>0</xdr:rowOff>
    </xdr:from>
    <xdr:to>
      <xdr:col>18</xdr:col>
      <xdr:colOff>0</xdr:colOff>
      <xdr:row>23</xdr:row>
      <xdr:rowOff>0</xdr:rowOff>
    </xdr:to>
    <xdr:sp>
      <xdr:nvSpPr>
        <xdr:cNvPr id="6" name="Oval 7"/>
        <xdr:cNvSpPr>
          <a:spLocks/>
        </xdr:cNvSpPr>
      </xdr:nvSpPr>
      <xdr:spPr>
        <a:xfrm>
          <a:off x="1296352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23</xdr:row>
      <xdr:rowOff>0</xdr:rowOff>
    </xdr:from>
    <xdr:to>
      <xdr:col>19</xdr:col>
      <xdr:colOff>0</xdr:colOff>
      <xdr:row>23</xdr:row>
      <xdr:rowOff>0</xdr:rowOff>
    </xdr:to>
    <xdr:sp>
      <xdr:nvSpPr>
        <xdr:cNvPr id="7" name="Oval 8"/>
        <xdr:cNvSpPr>
          <a:spLocks/>
        </xdr:cNvSpPr>
      </xdr:nvSpPr>
      <xdr:spPr>
        <a:xfrm>
          <a:off x="1347787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30</xdr:row>
      <xdr:rowOff>0</xdr:rowOff>
    </xdr:from>
    <xdr:to>
      <xdr:col>19</xdr:col>
      <xdr:colOff>0</xdr:colOff>
      <xdr:row>30</xdr:row>
      <xdr:rowOff>0</xdr:rowOff>
    </xdr:to>
    <xdr:sp>
      <xdr:nvSpPr>
        <xdr:cNvPr id="8" name="Oval 9"/>
        <xdr:cNvSpPr>
          <a:spLocks/>
        </xdr:cNvSpPr>
      </xdr:nvSpPr>
      <xdr:spPr>
        <a:xfrm>
          <a:off x="13477875" y="55245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30</xdr:row>
      <xdr:rowOff>0</xdr:rowOff>
    </xdr:from>
    <xdr:to>
      <xdr:col>19</xdr:col>
      <xdr:colOff>0</xdr:colOff>
      <xdr:row>30</xdr:row>
      <xdr:rowOff>0</xdr:rowOff>
    </xdr:to>
    <xdr:sp>
      <xdr:nvSpPr>
        <xdr:cNvPr id="9" name="Oval 10"/>
        <xdr:cNvSpPr>
          <a:spLocks/>
        </xdr:cNvSpPr>
      </xdr:nvSpPr>
      <xdr:spPr>
        <a:xfrm>
          <a:off x="13477875" y="55245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23</xdr:row>
      <xdr:rowOff>0</xdr:rowOff>
    </xdr:from>
    <xdr:to>
      <xdr:col>18</xdr:col>
      <xdr:colOff>0</xdr:colOff>
      <xdr:row>23</xdr:row>
      <xdr:rowOff>0</xdr:rowOff>
    </xdr:to>
    <xdr:sp>
      <xdr:nvSpPr>
        <xdr:cNvPr id="10" name="Oval 11"/>
        <xdr:cNvSpPr>
          <a:spLocks/>
        </xdr:cNvSpPr>
      </xdr:nvSpPr>
      <xdr:spPr>
        <a:xfrm>
          <a:off x="1296352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23</xdr:row>
      <xdr:rowOff>0</xdr:rowOff>
    </xdr:from>
    <xdr:to>
      <xdr:col>19</xdr:col>
      <xdr:colOff>0</xdr:colOff>
      <xdr:row>23</xdr:row>
      <xdr:rowOff>0</xdr:rowOff>
    </xdr:to>
    <xdr:sp>
      <xdr:nvSpPr>
        <xdr:cNvPr id="11" name="Oval 12"/>
        <xdr:cNvSpPr>
          <a:spLocks/>
        </xdr:cNvSpPr>
      </xdr:nvSpPr>
      <xdr:spPr>
        <a:xfrm>
          <a:off x="1347787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23</xdr:row>
      <xdr:rowOff>0</xdr:rowOff>
    </xdr:from>
    <xdr:to>
      <xdr:col>18</xdr:col>
      <xdr:colOff>0</xdr:colOff>
      <xdr:row>23</xdr:row>
      <xdr:rowOff>0</xdr:rowOff>
    </xdr:to>
    <xdr:sp>
      <xdr:nvSpPr>
        <xdr:cNvPr id="12" name="Oval 13"/>
        <xdr:cNvSpPr>
          <a:spLocks/>
        </xdr:cNvSpPr>
      </xdr:nvSpPr>
      <xdr:spPr>
        <a:xfrm>
          <a:off x="1296352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23</xdr:row>
      <xdr:rowOff>0</xdr:rowOff>
    </xdr:from>
    <xdr:to>
      <xdr:col>18</xdr:col>
      <xdr:colOff>0</xdr:colOff>
      <xdr:row>23</xdr:row>
      <xdr:rowOff>0</xdr:rowOff>
    </xdr:to>
    <xdr:sp>
      <xdr:nvSpPr>
        <xdr:cNvPr id="13" name="Oval 14"/>
        <xdr:cNvSpPr>
          <a:spLocks/>
        </xdr:cNvSpPr>
      </xdr:nvSpPr>
      <xdr:spPr>
        <a:xfrm>
          <a:off x="1296352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23</xdr:row>
      <xdr:rowOff>0</xdr:rowOff>
    </xdr:from>
    <xdr:to>
      <xdr:col>19</xdr:col>
      <xdr:colOff>0</xdr:colOff>
      <xdr:row>23</xdr:row>
      <xdr:rowOff>0</xdr:rowOff>
    </xdr:to>
    <xdr:sp>
      <xdr:nvSpPr>
        <xdr:cNvPr id="14" name="Oval 15"/>
        <xdr:cNvSpPr>
          <a:spLocks/>
        </xdr:cNvSpPr>
      </xdr:nvSpPr>
      <xdr:spPr>
        <a:xfrm>
          <a:off x="1347787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219075</xdr:colOff>
      <xdr:row>1</xdr:row>
      <xdr:rowOff>19050</xdr:rowOff>
    </xdr:from>
    <xdr:to>
      <xdr:col>12</xdr:col>
      <xdr:colOff>209550</xdr:colOff>
      <xdr:row>1</xdr:row>
      <xdr:rowOff>200025</xdr:rowOff>
    </xdr:to>
    <xdr:sp>
      <xdr:nvSpPr>
        <xdr:cNvPr id="15" name="Oval 17"/>
        <xdr:cNvSpPr>
          <a:spLocks/>
        </xdr:cNvSpPr>
      </xdr:nvSpPr>
      <xdr:spPr>
        <a:xfrm>
          <a:off x="8877300" y="257175"/>
          <a:ext cx="704850"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23</xdr:row>
      <xdr:rowOff>0</xdr:rowOff>
    </xdr:from>
    <xdr:to>
      <xdr:col>15</xdr:col>
      <xdr:colOff>0</xdr:colOff>
      <xdr:row>23</xdr:row>
      <xdr:rowOff>0</xdr:rowOff>
    </xdr:to>
    <xdr:sp>
      <xdr:nvSpPr>
        <xdr:cNvPr id="16" name="Oval 18"/>
        <xdr:cNvSpPr>
          <a:spLocks/>
        </xdr:cNvSpPr>
      </xdr:nvSpPr>
      <xdr:spPr>
        <a:xfrm>
          <a:off x="108204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23</xdr:row>
      <xdr:rowOff>0</xdr:rowOff>
    </xdr:from>
    <xdr:to>
      <xdr:col>15</xdr:col>
      <xdr:colOff>0</xdr:colOff>
      <xdr:row>23</xdr:row>
      <xdr:rowOff>0</xdr:rowOff>
    </xdr:to>
    <xdr:sp>
      <xdr:nvSpPr>
        <xdr:cNvPr id="17" name="Oval 19"/>
        <xdr:cNvSpPr>
          <a:spLocks/>
        </xdr:cNvSpPr>
      </xdr:nvSpPr>
      <xdr:spPr>
        <a:xfrm>
          <a:off x="108204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23</xdr:row>
      <xdr:rowOff>0</xdr:rowOff>
    </xdr:from>
    <xdr:to>
      <xdr:col>17</xdr:col>
      <xdr:colOff>0</xdr:colOff>
      <xdr:row>23</xdr:row>
      <xdr:rowOff>0</xdr:rowOff>
    </xdr:to>
    <xdr:sp>
      <xdr:nvSpPr>
        <xdr:cNvPr id="18" name="Oval 20"/>
        <xdr:cNvSpPr>
          <a:spLocks/>
        </xdr:cNvSpPr>
      </xdr:nvSpPr>
      <xdr:spPr>
        <a:xfrm>
          <a:off x="122491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23</xdr:row>
      <xdr:rowOff>0</xdr:rowOff>
    </xdr:from>
    <xdr:to>
      <xdr:col>17</xdr:col>
      <xdr:colOff>0</xdr:colOff>
      <xdr:row>23</xdr:row>
      <xdr:rowOff>0</xdr:rowOff>
    </xdr:to>
    <xdr:sp>
      <xdr:nvSpPr>
        <xdr:cNvPr id="19" name="Oval 21"/>
        <xdr:cNvSpPr>
          <a:spLocks/>
        </xdr:cNvSpPr>
      </xdr:nvSpPr>
      <xdr:spPr>
        <a:xfrm>
          <a:off x="122491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23</xdr:row>
      <xdr:rowOff>0</xdr:rowOff>
    </xdr:from>
    <xdr:to>
      <xdr:col>7</xdr:col>
      <xdr:colOff>0</xdr:colOff>
      <xdr:row>23</xdr:row>
      <xdr:rowOff>0</xdr:rowOff>
    </xdr:to>
    <xdr:sp>
      <xdr:nvSpPr>
        <xdr:cNvPr id="20" name="Oval 22"/>
        <xdr:cNvSpPr>
          <a:spLocks/>
        </xdr:cNvSpPr>
      </xdr:nvSpPr>
      <xdr:spPr>
        <a:xfrm>
          <a:off x="51054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23</xdr:row>
      <xdr:rowOff>0</xdr:rowOff>
    </xdr:from>
    <xdr:to>
      <xdr:col>7</xdr:col>
      <xdr:colOff>0</xdr:colOff>
      <xdr:row>23</xdr:row>
      <xdr:rowOff>0</xdr:rowOff>
    </xdr:to>
    <xdr:sp>
      <xdr:nvSpPr>
        <xdr:cNvPr id="21" name="Oval 23"/>
        <xdr:cNvSpPr>
          <a:spLocks/>
        </xdr:cNvSpPr>
      </xdr:nvSpPr>
      <xdr:spPr>
        <a:xfrm>
          <a:off x="51054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23</xdr:row>
      <xdr:rowOff>0</xdr:rowOff>
    </xdr:from>
    <xdr:to>
      <xdr:col>9</xdr:col>
      <xdr:colOff>0</xdr:colOff>
      <xdr:row>23</xdr:row>
      <xdr:rowOff>0</xdr:rowOff>
    </xdr:to>
    <xdr:sp>
      <xdr:nvSpPr>
        <xdr:cNvPr id="22" name="Oval 24"/>
        <xdr:cNvSpPr>
          <a:spLocks/>
        </xdr:cNvSpPr>
      </xdr:nvSpPr>
      <xdr:spPr>
        <a:xfrm>
          <a:off x="65341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23</xdr:row>
      <xdr:rowOff>0</xdr:rowOff>
    </xdr:from>
    <xdr:to>
      <xdr:col>9</xdr:col>
      <xdr:colOff>0</xdr:colOff>
      <xdr:row>23</xdr:row>
      <xdr:rowOff>0</xdr:rowOff>
    </xdr:to>
    <xdr:sp>
      <xdr:nvSpPr>
        <xdr:cNvPr id="23" name="Oval 25"/>
        <xdr:cNvSpPr>
          <a:spLocks/>
        </xdr:cNvSpPr>
      </xdr:nvSpPr>
      <xdr:spPr>
        <a:xfrm>
          <a:off x="65341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23</xdr:row>
      <xdr:rowOff>0</xdr:rowOff>
    </xdr:from>
    <xdr:to>
      <xdr:col>11</xdr:col>
      <xdr:colOff>0</xdr:colOff>
      <xdr:row>23</xdr:row>
      <xdr:rowOff>0</xdr:rowOff>
    </xdr:to>
    <xdr:sp>
      <xdr:nvSpPr>
        <xdr:cNvPr id="24" name="Oval 26"/>
        <xdr:cNvSpPr>
          <a:spLocks/>
        </xdr:cNvSpPr>
      </xdr:nvSpPr>
      <xdr:spPr>
        <a:xfrm>
          <a:off x="79629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23</xdr:row>
      <xdr:rowOff>0</xdr:rowOff>
    </xdr:from>
    <xdr:to>
      <xdr:col>11</xdr:col>
      <xdr:colOff>0</xdr:colOff>
      <xdr:row>23</xdr:row>
      <xdr:rowOff>0</xdr:rowOff>
    </xdr:to>
    <xdr:sp>
      <xdr:nvSpPr>
        <xdr:cNvPr id="25" name="Oval 27"/>
        <xdr:cNvSpPr>
          <a:spLocks/>
        </xdr:cNvSpPr>
      </xdr:nvSpPr>
      <xdr:spPr>
        <a:xfrm>
          <a:off x="79629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23</xdr:row>
      <xdr:rowOff>0</xdr:rowOff>
    </xdr:from>
    <xdr:to>
      <xdr:col>13</xdr:col>
      <xdr:colOff>0</xdr:colOff>
      <xdr:row>23</xdr:row>
      <xdr:rowOff>0</xdr:rowOff>
    </xdr:to>
    <xdr:sp>
      <xdr:nvSpPr>
        <xdr:cNvPr id="26" name="Oval 28"/>
        <xdr:cNvSpPr>
          <a:spLocks/>
        </xdr:cNvSpPr>
      </xdr:nvSpPr>
      <xdr:spPr>
        <a:xfrm>
          <a:off x="93916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23</xdr:row>
      <xdr:rowOff>0</xdr:rowOff>
    </xdr:from>
    <xdr:to>
      <xdr:col>13</xdr:col>
      <xdr:colOff>0</xdr:colOff>
      <xdr:row>23</xdr:row>
      <xdr:rowOff>0</xdr:rowOff>
    </xdr:to>
    <xdr:sp>
      <xdr:nvSpPr>
        <xdr:cNvPr id="27" name="Oval 29"/>
        <xdr:cNvSpPr>
          <a:spLocks/>
        </xdr:cNvSpPr>
      </xdr:nvSpPr>
      <xdr:spPr>
        <a:xfrm>
          <a:off x="93916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23</xdr:row>
      <xdr:rowOff>0</xdr:rowOff>
    </xdr:from>
    <xdr:to>
      <xdr:col>13</xdr:col>
      <xdr:colOff>0</xdr:colOff>
      <xdr:row>23</xdr:row>
      <xdr:rowOff>0</xdr:rowOff>
    </xdr:to>
    <xdr:sp>
      <xdr:nvSpPr>
        <xdr:cNvPr id="28" name="Oval 30"/>
        <xdr:cNvSpPr>
          <a:spLocks/>
        </xdr:cNvSpPr>
      </xdr:nvSpPr>
      <xdr:spPr>
        <a:xfrm>
          <a:off x="93916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23</xdr:row>
      <xdr:rowOff>0</xdr:rowOff>
    </xdr:from>
    <xdr:to>
      <xdr:col>13</xdr:col>
      <xdr:colOff>0</xdr:colOff>
      <xdr:row>23</xdr:row>
      <xdr:rowOff>0</xdr:rowOff>
    </xdr:to>
    <xdr:sp>
      <xdr:nvSpPr>
        <xdr:cNvPr id="29" name="Oval 31"/>
        <xdr:cNvSpPr>
          <a:spLocks/>
        </xdr:cNvSpPr>
      </xdr:nvSpPr>
      <xdr:spPr>
        <a:xfrm>
          <a:off x="93916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23</xdr:row>
      <xdr:rowOff>0</xdr:rowOff>
    </xdr:from>
    <xdr:to>
      <xdr:col>15</xdr:col>
      <xdr:colOff>0</xdr:colOff>
      <xdr:row>23</xdr:row>
      <xdr:rowOff>0</xdr:rowOff>
    </xdr:to>
    <xdr:sp>
      <xdr:nvSpPr>
        <xdr:cNvPr id="30" name="Oval 32"/>
        <xdr:cNvSpPr>
          <a:spLocks/>
        </xdr:cNvSpPr>
      </xdr:nvSpPr>
      <xdr:spPr>
        <a:xfrm>
          <a:off x="108204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23</xdr:row>
      <xdr:rowOff>0</xdr:rowOff>
    </xdr:from>
    <xdr:to>
      <xdr:col>15</xdr:col>
      <xdr:colOff>0</xdr:colOff>
      <xdr:row>23</xdr:row>
      <xdr:rowOff>0</xdr:rowOff>
    </xdr:to>
    <xdr:sp>
      <xdr:nvSpPr>
        <xdr:cNvPr id="31" name="Oval 33"/>
        <xdr:cNvSpPr>
          <a:spLocks/>
        </xdr:cNvSpPr>
      </xdr:nvSpPr>
      <xdr:spPr>
        <a:xfrm>
          <a:off x="108204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34</xdr:row>
      <xdr:rowOff>152400</xdr:rowOff>
    </xdr:from>
    <xdr:to>
      <xdr:col>11</xdr:col>
      <xdr:colOff>200025</xdr:colOff>
      <xdr:row>35</xdr:row>
      <xdr:rowOff>133350</xdr:rowOff>
    </xdr:to>
    <xdr:sp>
      <xdr:nvSpPr>
        <xdr:cNvPr id="32" name="Text 41"/>
        <xdr:cNvSpPr txBox="1">
          <a:spLocks noChangeArrowheads="1"/>
        </xdr:cNvSpPr>
      </xdr:nvSpPr>
      <xdr:spPr>
        <a:xfrm>
          <a:off x="5172075" y="6419850"/>
          <a:ext cx="3686175" cy="152400"/>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Do not change or copy in summaries below this area</a:t>
          </a:r>
        </a:p>
      </xdr:txBody>
    </xdr:sp>
    <xdr:clientData fPrintsWithSheet="0"/>
  </xdr:twoCellAnchor>
  <xdr:twoCellAnchor>
    <xdr:from>
      <xdr:col>4</xdr:col>
      <xdr:colOff>371475</xdr:colOff>
      <xdr:row>48</xdr:row>
      <xdr:rowOff>57150</xdr:rowOff>
    </xdr:from>
    <xdr:to>
      <xdr:col>5</xdr:col>
      <xdr:colOff>219075</xdr:colOff>
      <xdr:row>55</xdr:row>
      <xdr:rowOff>142875</xdr:rowOff>
    </xdr:to>
    <xdr:sp>
      <xdr:nvSpPr>
        <xdr:cNvPr id="33" name="Text 42"/>
        <xdr:cNvSpPr txBox="1">
          <a:spLocks noChangeArrowheads="1"/>
        </xdr:cNvSpPr>
      </xdr:nvSpPr>
      <xdr:spPr>
        <a:xfrm>
          <a:off x="4029075" y="8696325"/>
          <a:ext cx="561975" cy="1219200"/>
        </a:xfrm>
        <a:prstGeom prst="rect">
          <a:avLst/>
        </a:prstGeom>
        <a:noFill/>
        <a:ln w="1" cmpd="sng">
          <a:solidFill>
            <a:srgbClr val="969696"/>
          </a:solidFill>
          <a:headEnd type="none"/>
          <a:tailEnd type="none"/>
        </a:ln>
      </xdr:spPr>
      <xdr:txBody>
        <a:bodyPr vertOverflow="clip" wrap="square"/>
        <a:p>
          <a:pPr algn="ctr">
            <a:defRPr/>
          </a:pPr>
          <a:r>
            <a:rPr lang="en-US" cap="none" sz="900" b="0" i="0" u="none" baseline="0">
              <a:solidFill>
                <a:srgbClr val="424242"/>
              </a:solidFill>
              <a:latin typeface="Arial"/>
              <a:ea typeface="Arial"/>
              <a:cs typeface="Arial"/>
            </a:rPr>
            <a:t>Do not change these areas or copy into these areas.</a:t>
          </a:r>
        </a:p>
      </xdr:txBody>
    </xdr:sp>
    <xdr:clientData fPrintsWithSheet="0"/>
  </xdr:twoCellAnchor>
  <xdr:twoCellAnchor>
    <xdr:from>
      <xdr:col>0</xdr:col>
      <xdr:colOff>28575</xdr:colOff>
      <xdr:row>82</xdr:row>
      <xdr:rowOff>114300</xdr:rowOff>
    </xdr:from>
    <xdr:to>
      <xdr:col>17</xdr:col>
      <xdr:colOff>57150</xdr:colOff>
      <xdr:row>83</xdr:row>
      <xdr:rowOff>152400</xdr:rowOff>
    </xdr:to>
    <xdr:sp>
      <xdr:nvSpPr>
        <xdr:cNvPr id="34" name="Text 56"/>
        <xdr:cNvSpPr txBox="1">
          <a:spLocks noChangeArrowheads="1"/>
        </xdr:cNvSpPr>
      </xdr:nvSpPr>
      <xdr:spPr>
        <a:xfrm>
          <a:off x="28575" y="14706600"/>
          <a:ext cx="12973050" cy="200025"/>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You can add comments between table above and this box.</a:t>
          </a:r>
        </a:p>
      </xdr:txBody>
    </xdr:sp>
    <xdr:clientData fPrintsWithSheet="0"/>
  </xdr:twoCellAnchor>
  <xdr:twoCellAnchor>
    <xdr:from>
      <xdr:col>12</xdr:col>
      <xdr:colOff>352425</xdr:colOff>
      <xdr:row>48</xdr:row>
      <xdr:rowOff>47625</xdr:rowOff>
    </xdr:from>
    <xdr:to>
      <xdr:col>13</xdr:col>
      <xdr:colOff>200025</xdr:colOff>
      <xdr:row>55</xdr:row>
      <xdr:rowOff>114300</xdr:rowOff>
    </xdr:to>
    <xdr:sp>
      <xdr:nvSpPr>
        <xdr:cNvPr id="35" name="Text 62"/>
        <xdr:cNvSpPr txBox="1">
          <a:spLocks noChangeArrowheads="1"/>
        </xdr:cNvSpPr>
      </xdr:nvSpPr>
      <xdr:spPr>
        <a:xfrm>
          <a:off x="9725025" y="8686800"/>
          <a:ext cx="561975" cy="1200150"/>
        </a:xfrm>
        <a:prstGeom prst="rect">
          <a:avLst/>
        </a:prstGeom>
        <a:noFill/>
        <a:ln w="1" cmpd="sng">
          <a:solidFill>
            <a:srgbClr val="969696"/>
          </a:solidFill>
          <a:headEnd type="none"/>
          <a:tailEnd type="none"/>
        </a:ln>
      </xdr:spPr>
      <xdr:txBody>
        <a:bodyPr vertOverflow="clip" wrap="square"/>
        <a:p>
          <a:pPr algn="ctr">
            <a:defRPr/>
          </a:pPr>
          <a:r>
            <a:rPr lang="en-US" cap="none" sz="900" b="0" i="0" u="none" baseline="0">
              <a:solidFill>
                <a:srgbClr val="424242"/>
              </a:solidFill>
              <a:latin typeface="Arial"/>
              <a:ea typeface="Arial"/>
              <a:cs typeface="Arial"/>
            </a:rPr>
            <a:t>Do not change these areas or copy into these areas.</a:t>
          </a:r>
        </a:p>
      </xdr:txBody>
    </xdr:sp>
    <xdr:clientData fPrintsWithSheet="0"/>
  </xdr:twoCellAnchor>
  <xdr:twoCellAnchor>
    <xdr:from>
      <xdr:col>11</xdr:col>
      <xdr:colOff>352425</xdr:colOff>
      <xdr:row>34</xdr:row>
      <xdr:rowOff>142875</xdr:rowOff>
    </xdr:from>
    <xdr:to>
      <xdr:col>16</xdr:col>
      <xdr:colOff>476250</xdr:colOff>
      <xdr:row>35</xdr:row>
      <xdr:rowOff>133350</xdr:rowOff>
    </xdr:to>
    <xdr:sp>
      <xdr:nvSpPr>
        <xdr:cNvPr id="36" name="Text 63"/>
        <xdr:cNvSpPr txBox="1">
          <a:spLocks noChangeArrowheads="1"/>
        </xdr:cNvSpPr>
      </xdr:nvSpPr>
      <xdr:spPr>
        <a:xfrm>
          <a:off x="9010650" y="6410325"/>
          <a:ext cx="3695700" cy="161925"/>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Do not change or copy in summaries below this area</a:t>
          </a:r>
        </a:p>
      </xdr:txBody>
    </xdr:sp>
    <xdr:clientData fPrintsWithSheet="0"/>
  </xdr:twoCellAnchor>
  <xdr:twoCellAnchor>
    <xdr:from>
      <xdr:col>0</xdr:col>
      <xdr:colOff>9525</xdr:colOff>
      <xdr:row>5</xdr:row>
      <xdr:rowOff>9525</xdr:rowOff>
    </xdr:from>
    <xdr:to>
      <xdr:col>0</xdr:col>
      <xdr:colOff>581025</xdr:colOff>
      <xdr:row>24</xdr:row>
      <xdr:rowOff>161925</xdr:rowOff>
    </xdr:to>
    <xdr:grpSp>
      <xdr:nvGrpSpPr>
        <xdr:cNvPr id="37" name="Group 39"/>
        <xdr:cNvGrpSpPr>
          <a:grpSpLocks/>
        </xdr:cNvGrpSpPr>
      </xdr:nvGrpSpPr>
      <xdr:grpSpPr>
        <a:xfrm>
          <a:off x="9525" y="1047750"/>
          <a:ext cx="571500" cy="3238500"/>
          <a:chOff x="-5103" y="-17"/>
          <a:chExt cx="8832" cy="151"/>
        </a:xfrm>
        <a:solidFill>
          <a:srgbClr val="FFFFFF"/>
        </a:solidFill>
      </xdr:grpSpPr>
      <xdr:sp>
        <xdr:nvSpPr>
          <xdr:cNvPr id="38" name="Text 65"/>
          <xdr:cNvSpPr txBox="1">
            <a:spLocks noChangeArrowheads="1"/>
          </xdr:cNvSpPr>
        </xdr:nvSpPr>
        <xdr:spPr>
          <a:xfrm>
            <a:off x="-5103" y="28"/>
            <a:ext cx="8832" cy="89"/>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PASTE VALUES only from Summary View of Traffic  Sheet.
 Use DELETE to undo.</a:t>
            </a:r>
          </a:p>
        </xdr:txBody>
      </xdr:sp>
      <xdr:sp>
        <xdr:nvSpPr>
          <xdr:cNvPr id="39" name="Line 41"/>
          <xdr:cNvSpPr>
            <a:spLocks/>
          </xdr:cNvSpPr>
        </xdr:nvSpPr>
        <xdr:spPr>
          <a:xfrm flipV="1">
            <a:off x="-1239" y="-17"/>
            <a:ext cx="0" cy="44"/>
          </a:xfrm>
          <a:prstGeom prst="line">
            <a:avLst/>
          </a:prstGeom>
          <a:solidFill>
            <a:srgbClr val="FFFFFF"/>
          </a:solidFill>
          <a:ln w="1"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0" name="Line 42"/>
          <xdr:cNvSpPr>
            <a:spLocks/>
          </xdr:cNvSpPr>
        </xdr:nvSpPr>
        <xdr:spPr>
          <a:xfrm>
            <a:off x="-1239" y="117"/>
            <a:ext cx="0" cy="17"/>
          </a:xfrm>
          <a:prstGeom prst="line">
            <a:avLst/>
          </a:prstGeom>
          <a:solidFill>
            <a:srgbClr val="FFFFFF"/>
          </a:solidFill>
          <a:ln w="1"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219075</xdr:colOff>
      <xdr:row>25</xdr:row>
      <xdr:rowOff>9525</xdr:rowOff>
    </xdr:from>
    <xdr:to>
      <xdr:col>2</xdr:col>
      <xdr:colOff>0</xdr:colOff>
      <xdr:row>29</xdr:row>
      <xdr:rowOff>152400</xdr:rowOff>
    </xdr:to>
    <xdr:grpSp>
      <xdr:nvGrpSpPr>
        <xdr:cNvPr id="41" name="Group 43"/>
        <xdr:cNvGrpSpPr>
          <a:grpSpLocks/>
        </xdr:cNvGrpSpPr>
      </xdr:nvGrpSpPr>
      <xdr:grpSpPr>
        <a:xfrm>
          <a:off x="219075" y="4305300"/>
          <a:ext cx="2667000" cy="1200150"/>
          <a:chOff x="-20002" y="-104752"/>
          <a:chExt cx="39984" cy="354"/>
        </a:xfrm>
        <a:solidFill>
          <a:srgbClr val="FFFFFF"/>
        </a:solidFill>
      </xdr:grpSpPr>
      <xdr:sp>
        <xdr:nvSpPr>
          <xdr:cNvPr id="42" name="Text 70"/>
          <xdr:cNvSpPr txBox="1">
            <a:spLocks noChangeArrowheads="1"/>
          </xdr:cNvSpPr>
        </xdr:nvSpPr>
        <xdr:spPr>
          <a:xfrm>
            <a:off x="-16184" y="-104707"/>
            <a:ext cx="36166" cy="108"/>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PASTE VALUES only from Construction Sheet. Use DELETE to undo.</a:t>
            </a:r>
          </a:p>
        </xdr:txBody>
      </xdr:sp>
      <xdr:sp>
        <xdr:nvSpPr>
          <xdr:cNvPr id="43" name="Line 45"/>
          <xdr:cNvSpPr>
            <a:spLocks/>
          </xdr:cNvSpPr>
        </xdr:nvSpPr>
        <xdr:spPr>
          <a:xfrm>
            <a:off x="-19562" y="-104752"/>
            <a:ext cx="0" cy="354"/>
          </a:xfrm>
          <a:prstGeom prst="line">
            <a:avLst/>
          </a:prstGeom>
          <a:solidFill>
            <a:srgbClr val="FFFFFF"/>
          </a:solidFill>
          <a:ln w="1" cmpd="sng">
            <a:solidFill>
              <a:srgbClr val="969696"/>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4" name="Line 46"/>
          <xdr:cNvSpPr>
            <a:spLocks/>
          </xdr:cNvSpPr>
        </xdr:nvSpPr>
        <xdr:spPr>
          <a:xfrm flipH="1">
            <a:off x="-20002" y="-104641"/>
            <a:ext cx="3679" cy="0"/>
          </a:xfrm>
          <a:prstGeom prst="line">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371475</xdr:colOff>
      <xdr:row>48</xdr:row>
      <xdr:rowOff>57150</xdr:rowOff>
    </xdr:from>
    <xdr:to>
      <xdr:col>9</xdr:col>
      <xdr:colOff>219075</xdr:colOff>
      <xdr:row>55</xdr:row>
      <xdr:rowOff>142875</xdr:rowOff>
    </xdr:to>
    <xdr:sp>
      <xdr:nvSpPr>
        <xdr:cNvPr id="45" name="Text 74"/>
        <xdr:cNvSpPr txBox="1">
          <a:spLocks noChangeArrowheads="1"/>
        </xdr:cNvSpPr>
      </xdr:nvSpPr>
      <xdr:spPr>
        <a:xfrm>
          <a:off x="6886575" y="8696325"/>
          <a:ext cx="561975" cy="1219200"/>
        </a:xfrm>
        <a:prstGeom prst="rect">
          <a:avLst/>
        </a:prstGeom>
        <a:noFill/>
        <a:ln w="1" cmpd="sng">
          <a:solidFill>
            <a:srgbClr val="969696"/>
          </a:solidFill>
          <a:headEnd type="none"/>
          <a:tailEnd type="none"/>
        </a:ln>
      </xdr:spPr>
      <xdr:txBody>
        <a:bodyPr vertOverflow="clip" wrap="square"/>
        <a:p>
          <a:pPr algn="ctr">
            <a:defRPr/>
          </a:pPr>
          <a:r>
            <a:rPr lang="en-US" cap="none" sz="900" b="0" i="0" u="none" baseline="0">
              <a:solidFill>
                <a:srgbClr val="424242"/>
              </a:solidFill>
              <a:latin typeface="Arial"/>
              <a:ea typeface="Arial"/>
              <a:cs typeface="Arial"/>
            </a:rPr>
            <a:t>Do not change these areas or copy into these areas.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0</xdr:rowOff>
    </xdr:from>
    <xdr:to>
      <xdr:col>3</xdr:col>
      <xdr:colOff>200025</xdr:colOff>
      <xdr:row>6</xdr:row>
      <xdr:rowOff>0</xdr:rowOff>
    </xdr:to>
    <xdr:sp>
      <xdr:nvSpPr>
        <xdr:cNvPr id="1" name="TextBox 37"/>
        <xdr:cNvSpPr txBox="1">
          <a:spLocks noChangeArrowheads="1"/>
        </xdr:cNvSpPr>
      </xdr:nvSpPr>
      <xdr:spPr>
        <a:xfrm>
          <a:off x="1647825" y="200025"/>
          <a:ext cx="895350" cy="1019175"/>
        </a:xfrm>
        <a:prstGeom prst="rect">
          <a:avLst/>
        </a:prstGeom>
        <a:solidFill>
          <a:srgbClr val="C0C0C0">
            <a:alpha val="50000"/>
          </a:srgbClr>
        </a:solidFill>
        <a:ln w="9525" cmpd="sng">
          <a:solidFill>
            <a:srgbClr val="000000"/>
          </a:solidFill>
          <a:headEnd type="none"/>
          <a:tailEnd type="none"/>
        </a:ln>
      </xdr:spPr>
      <xdr:txBody>
        <a:bodyPr vertOverflow="clip" wrap="square"/>
        <a:p>
          <a:pPr algn="ctr">
            <a:defRPr/>
          </a:pPr>
          <a:r>
            <a:rPr lang="en-US" cap="none" sz="1000" b="1" i="0" u="none" baseline="0">
              <a:solidFill>
                <a:srgbClr val="0000FF"/>
              </a:solidFill>
              <a:latin typeface="Arial"/>
              <a:ea typeface="Arial"/>
              <a:cs typeface="Arial"/>
            </a:rPr>
            <a:t>Go To</a:t>
          </a:r>
        </a:p>
      </xdr:txBody>
    </xdr:sp>
    <xdr:clientData/>
  </xdr:twoCellAnchor>
  <xdr:twoCellAnchor>
    <xdr:from>
      <xdr:col>20</xdr:col>
      <xdr:colOff>9525</xdr:colOff>
      <xdr:row>13</xdr:row>
      <xdr:rowOff>9525</xdr:rowOff>
    </xdr:from>
    <xdr:to>
      <xdr:col>21</xdr:col>
      <xdr:colOff>0</xdr:colOff>
      <xdr:row>14</xdr:row>
      <xdr:rowOff>104775</xdr:rowOff>
    </xdr:to>
    <xdr:sp>
      <xdr:nvSpPr>
        <xdr:cNvPr id="2" name="Line 15"/>
        <xdr:cNvSpPr>
          <a:spLocks/>
        </xdr:cNvSpPr>
      </xdr:nvSpPr>
      <xdr:spPr>
        <a:xfrm>
          <a:off x="11915775" y="2400300"/>
          <a:ext cx="438150" cy="257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13</xdr:row>
      <xdr:rowOff>0</xdr:rowOff>
    </xdr:from>
    <xdr:to>
      <xdr:col>46</xdr:col>
      <xdr:colOff>0</xdr:colOff>
      <xdr:row>14</xdr:row>
      <xdr:rowOff>123825</xdr:rowOff>
    </xdr:to>
    <xdr:sp>
      <xdr:nvSpPr>
        <xdr:cNvPr id="3" name="Line 16"/>
        <xdr:cNvSpPr>
          <a:spLocks/>
        </xdr:cNvSpPr>
      </xdr:nvSpPr>
      <xdr:spPr>
        <a:xfrm flipH="1">
          <a:off x="23098125" y="2390775"/>
          <a:ext cx="447675" cy="2857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0</xdr:rowOff>
    </xdr:from>
    <xdr:to>
      <xdr:col>9</xdr:col>
      <xdr:colOff>0</xdr:colOff>
      <xdr:row>2</xdr:row>
      <xdr:rowOff>0</xdr:rowOff>
    </xdr:to>
    <xdr:sp>
      <xdr:nvSpPr>
        <xdr:cNvPr id="1" name="Oval 2"/>
        <xdr:cNvSpPr>
          <a:spLocks/>
        </xdr:cNvSpPr>
      </xdr:nvSpPr>
      <xdr:spPr>
        <a:xfrm>
          <a:off x="10163175" y="247650"/>
          <a:ext cx="638175" cy="1714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xdr:row>
      <xdr:rowOff>0</xdr:rowOff>
    </xdr:from>
    <xdr:to>
      <xdr:col>6</xdr:col>
      <xdr:colOff>0</xdr:colOff>
      <xdr:row>2</xdr:row>
      <xdr:rowOff>0</xdr:rowOff>
    </xdr:to>
    <xdr:sp>
      <xdr:nvSpPr>
        <xdr:cNvPr id="2" name="Oval 4"/>
        <xdr:cNvSpPr>
          <a:spLocks/>
        </xdr:cNvSpPr>
      </xdr:nvSpPr>
      <xdr:spPr>
        <a:xfrm>
          <a:off x="5210175" y="247650"/>
          <a:ext cx="895350" cy="1714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84</xdr:row>
      <xdr:rowOff>0</xdr:rowOff>
    </xdr:from>
    <xdr:to>
      <xdr:col>6</xdr:col>
      <xdr:colOff>0</xdr:colOff>
      <xdr:row>84</xdr:row>
      <xdr:rowOff>0</xdr:rowOff>
    </xdr:to>
    <xdr:sp>
      <xdr:nvSpPr>
        <xdr:cNvPr id="3" name="Oval 12"/>
        <xdr:cNvSpPr>
          <a:spLocks/>
        </xdr:cNvSpPr>
      </xdr:nvSpPr>
      <xdr:spPr>
        <a:xfrm>
          <a:off x="5210175" y="14801850"/>
          <a:ext cx="89535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79</xdr:row>
      <xdr:rowOff>19050</xdr:rowOff>
    </xdr:from>
    <xdr:to>
      <xdr:col>2</xdr:col>
      <xdr:colOff>142875</xdr:colOff>
      <xdr:row>87</xdr:row>
      <xdr:rowOff>76200</xdr:rowOff>
    </xdr:to>
    <xdr:grpSp>
      <xdr:nvGrpSpPr>
        <xdr:cNvPr id="4" name="Group 31"/>
        <xdr:cNvGrpSpPr>
          <a:grpSpLocks/>
        </xdr:cNvGrpSpPr>
      </xdr:nvGrpSpPr>
      <xdr:grpSpPr>
        <a:xfrm>
          <a:off x="95250" y="13668375"/>
          <a:ext cx="2495550" cy="1695450"/>
          <a:chOff x="-2581" y="-176256"/>
          <a:chExt cx="16854" cy="227"/>
        </a:xfrm>
        <a:solidFill>
          <a:srgbClr val="FFFFFF"/>
        </a:solidFill>
      </xdr:grpSpPr>
      <xdr:sp>
        <xdr:nvSpPr>
          <xdr:cNvPr id="5" name="Text 23"/>
          <xdr:cNvSpPr txBox="1">
            <a:spLocks noChangeArrowheads="1"/>
          </xdr:cNvSpPr>
        </xdr:nvSpPr>
        <xdr:spPr>
          <a:xfrm>
            <a:off x="1713" y="-176080"/>
            <a:ext cx="12560" cy="51"/>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You can paste these values into Impact Sheet.</a:t>
            </a:r>
          </a:p>
        </xdr:txBody>
      </xdr:sp>
      <xdr:sp>
        <xdr:nvSpPr>
          <xdr:cNvPr id="6" name="Line 26"/>
          <xdr:cNvSpPr>
            <a:spLocks/>
          </xdr:cNvSpPr>
        </xdr:nvSpPr>
        <xdr:spPr>
          <a:xfrm>
            <a:off x="-2581" y="-176256"/>
            <a:ext cx="0" cy="150"/>
          </a:xfrm>
          <a:prstGeom prst="line">
            <a:avLst/>
          </a:prstGeom>
          <a:solidFill>
            <a:srgbClr val="FFFFFF"/>
          </a:solidFill>
          <a:ln w="1" cmpd="sng">
            <a:solidFill>
              <a:srgbClr val="969696"/>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7" name="Line 27"/>
          <xdr:cNvSpPr>
            <a:spLocks/>
          </xdr:cNvSpPr>
        </xdr:nvSpPr>
        <xdr:spPr>
          <a:xfrm flipH="1">
            <a:off x="-407" y="-176052"/>
            <a:ext cx="2119" cy="0"/>
          </a:xfrm>
          <a:prstGeom prst="line">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28"/>
          <xdr:cNvSpPr>
            <a:spLocks/>
          </xdr:cNvSpPr>
        </xdr:nvSpPr>
        <xdr:spPr>
          <a:xfrm flipV="1">
            <a:off x="-407" y="-176162"/>
            <a:ext cx="0" cy="110"/>
          </a:xfrm>
          <a:prstGeom prst="line">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2476" y="-176161"/>
            <a:ext cx="2069" cy="0"/>
          </a:xfrm>
          <a:prstGeom prst="line">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S51"/>
  <sheetViews>
    <sheetView tabSelected="1" workbookViewId="0" topLeftCell="A9">
      <selection activeCell="A27" sqref="A27:A29"/>
    </sheetView>
  </sheetViews>
  <sheetFormatPr defaultColWidth="9.140625" defaultRowHeight="12.75"/>
  <cols>
    <col min="1" max="1" width="52.57421875" style="0" customWidth="1"/>
  </cols>
  <sheetData>
    <row r="1" spans="1:19" ht="12.75">
      <c r="A1" s="576"/>
      <c r="B1" s="576"/>
      <c r="C1" s="576"/>
      <c r="D1" s="576"/>
      <c r="E1" s="576"/>
      <c r="F1" s="576"/>
      <c r="G1" s="576"/>
      <c r="H1" s="576"/>
      <c r="I1" s="576"/>
      <c r="J1" s="576"/>
      <c r="K1" s="576"/>
      <c r="L1" s="576"/>
      <c r="M1" s="576"/>
      <c r="N1" s="576"/>
      <c r="O1" s="576"/>
      <c r="P1" s="576"/>
      <c r="Q1" s="576"/>
      <c r="R1" s="576"/>
      <c r="S1" s="576"/>
    </row>
    <row r="2" spans="1:19" ht="12.75">
      <c r="A2" s="576"/>
      <c r="B2" s="576"/>
      <c r="C2" s="576"/>
      <c r="D2" s="576"/>
      <c r="E2" s="576"/>
      <c r="F2" s="576"/>
      <c r="G2" s="576"/>
      <c r="H2" s="576"/>
      <c r="I2" s="576"/>
      <c r="J2" s="576"/>
      <c r="K2" s="576"/>
      <c r="L2" s="576"/>
      <c r="M2" s="576"/>
      <c r="N2" s="576"/>
      <c r="O2" s="576"/>
      <c r="P2" s="576"/>
      <c r="Q2" s="576"/>
      <c r="R2" s="576"/>
      <c r="S2" s="576"/>
    </row>
    <row r="3" spans="1:19" ht="43.5">
      <c r="A3" s="1178" t="s">
        <v>551</v>
      </c>
      <c r="B3" s="576"/>
      <c r="C3" s="576"/>
      <c r="D3" s="576"/>
      <c r="E3" s="576"/>
      <c r="F3" s="576"/>
      <c r="G3" s="576"/>
      <c r="H3" s="576"/>
      <c r="I3" s="576"/>
      <c r="J3" s="576"/>
      <c r="K3" s="576"/>
      <c r="L3" s="576"/>
      <c r="M3" s="576"/>
      <c r="N3" s="576"/>
      <c r="O3" s="576"/>
      <c r="P3" s="576"/>
      <c r="Q3" s="576"/>
      <c r="R3" s="576"/>
      <c r="S3" s="576"/>
    </row>
    <row r="4" spans="1:19" ht="15.75">
      <c r="A4" s="574"/>
      <c r="B4" s="576"/>
      <c r="C4" s="576"/>
      <c r="D4" s="576"/>
      <c r="E4" s="576"/>
      <c r="F4" s="576"/>
      <c r="G4" s="576"/>
      <c r="H4" s="576"/>
      <c r="I4" s="576"/>
      <c r="J4" s="576"/>
      <c r="K4" s="576"/>
      <c r="L4" s="576"/>
      <c r="M4" s="576"/>
      <c r="N4" s="576"/>
      <c r="O4" s="576"/>
      <c r="P4" s="576"/>
      <c r="Q4" s="576"/>
      <c r="R4" s="576"/>
      <c r="S4" s="576"/>
    </row>
    <row r="5" spans="1:19" ht="39">
      <c r="A5" s="574" t="s">
        <v>550</v>
      </c>
      <c r="B5" s="576"/>
      <c r="C5" s="576"/>
      <c r="D5" s="576"/>
      <c r="E5" s="576"/>
      <c r="F5" s="576"/>
      <c r="G5" s="576"/>
      <c r="H5" s="576"/>
      <c r="I5" s="576"/>
      <c r="J5" s="576"/>
      <c r="K5" s="576"/>
      <c r="L5" s="576"/>
      <c r="M5" s="576"/>
      <c r="N5" s="576"/>
      <c r="O5" s="576"/>
      <c r="P5" s="576"/>
      <c r="Q5" s="576"/>
      <c r="R5" s="576"/>
      <c r="S5" s="576"/>
    </row>
    <row r="6" spans="1:19" ht="12.75">
      <c r="A6" s="575"/>
      <c r="B6" s="576"/>
      <c r="C6" s="576"/>
      <c r="D6" s="576"/>
      <c r="E6" s="576"/>
      <c r="F6" s="576"/>
      <c r="G6" s="576"/>
      <c r="H6" s="576"/>
      <c r="I6" s="576"/>
      <c r="J6" s="576"/>
      <c r="K6" s="576"/>
      <c r="L6" s="576"/>
      <c r="M6" s="576"/>
      <c r="N6" s="576"/>
      <c r="O6" s="576"/>
      <c r="P6" s="576"/>
      <c r="Q6" s="576"/>
      <c r="R6" s="576"/>
      <c r="S6" s="576"/>
    </row>
    <row r="7" spans="1:19" ht="38.25">
      <c r="A7" s="575" t="s">
        <v>0</v>
      </c>
      <c r="B7" s="576"/>
      <c r="C7" s="576"/>
      <c r="D7" s="576"/>
      <c r="E7" s="576"/>
      <c r="F7" s="576"/>
      <c r="G7" s="576"/>
      <c r="H7" s="576"/>
      <c r="I7" s="576"/>
      <c r="J7" s="576"/>
      <c r="K7" s="576"/>
      <c r="L7" s="576"/>
      <c r="M7" s="576"/>
      <c r="N7" s="576"/>
      <c r="O7" s="576"/>
      <c r="P7" s="576"/>
      <c r="Q7" s="576"/>
      <c r="R7" s="576"/>
      <c r="S7" s="576"/>
    </row>
    <row r="8" spans="1:19" ht="12.75">
      <c r="A8" s="575"/>
      <c r="B8" s="576"/>
      <c r="C8" s="576"/>
      <c r="D8" s="576"/>
      <c r="E8" s="576"/>
      <c r="F8" s="576"/>
      <c r="G8" s="576"/>
      <c r="H8" s="576"/>
      <c r="I8" s="576"/>
      <c r="J8" s="576"/>
      <c r="K8" s="576"/>
      <c r="L8" s="576"/>
      <c r="M8" s="576"/>
      <c r="N8" s="576"/>
      <c r="O8" s="576"/>
      <c r="P8" s="576"/>
      <c r="Q8" s="576"/>
      <c r="R8" s="576"/>
      <c r="S8" s="576"/>
    </row>
    <row r="9" spans="1:19" ht="30.75">
      <c r="A9" s="575" t="s">
        <v>552</v>
      </c>
      <c r="B9" s="576"/>
      <c r="C9" s="576"/>
      <c r="D9" s="576"/>
      <c r="E9" s="576"/>
      <c r="F9" s="576"/>
      <c r="G9" s="576"/>
      <c r="H9" s="576"/>
      <c r="I9" s="576"/>
      <c r="J9" s="576"/>
      <c r="K9" s="576"/>
      <c r="L9" s="576"/>
      <c r="M9" s="576"/>
      <c r="N9" s="576"/>
      <c r="O9" s="576"/>
      <c r="P9" s="576"/>
      <c r="Q9" s="576"/>
      <c r="R9" s="576"/>
      <c r="S9" s="576"/>
    </row>
    <row r="10" spans="1:19" ht="12.75">
      <c r="A10" s="575"/>
      <c r="B10" s="576"/>
      <c r="C10" s="576"/>
      <c r="D10" s="576"/>
      <c r="E10" s="576"/>
      <c r="F10" s="576"/>
      <c r="G10" s="576"/>
      <c r="H10" s="576"/>
      <c r="I10" s="576"/>
      <c r="J10" s="576"/>
      <c r="K10" s="576"/>
      <c r="L10" s="576"/>
      <c r="M10" s="576"/>
      <c r="N10" s="576"/>
      <c r="O10" s="576"/>
      <c r="P10" s="576"/>
      <c r="Q10" s="576"/>
      <c r="R10" s="576"/>
      <c r="S10" s="576"/>
    </row>
    <row r="11" spans="1:19" ht="56.25">
      <c r="A11" s="575" t="s">
        <v>553</v>
      </c>
      <c r="B11" s="576"/>
      <c r="C11" s="576"/>
      <c r="D11" s="576"/>
      <c r="E11" s="576"/>
      <c r="F11" s="576"/>
      <c r="G11" s="576"/>
      <c r="H11" s="576"/>
      <c r="I11" s="576"/>
      <c r="J11" s="576"/>
      <c r="K11" s="576"/>
      <c r="L11" s="576"/>
      <c r="M11" s="576"/>
      <c r="N11" s="576"/>
      <c r="O11" s="576"/>
      <c r="P11" s="576"/>
      <c r="Q11" s="576"/>
      <c r="R11" s="576"/>
      <c r="S11" s="576"/>
    </row>
    <row r="12" spans="1:19" ht="12.75">
      <c r="A12" s="575"/>
      <c r="B12" s="576"/>
      <c r="C12" s="576"/>
      <c r="D12" s="576"/>
      <c r="E12" s="576"/>
      <c r="F12" s="576"/>
      <c r="G12" s="576"/>
      <c r="H12" s="576"/>
      <c r="I12" s="576"/>
      <c r="J12" s="576"/>
      <c r="K12" s="576"/>
      <c r="L12" s="576"/>
      <c r="M12" s="576"/>
      <c r="N12" s="576"/>
      <c r="O12" s="576"/>
      <c r="P12" s="576"/>
      <c r="Q12" s="576"/>
      <c r="R12" s="576"/>
      <c r="S12" s="576"/>
    </row>
    <row r="13" spans="1:19" ht="43.5">
      <c r="A13" s="575" t="s">
        <v>544</v>
      </c>
      <c r="B13" s="576"/>
      <c r="C13" s="576"/>
      <c r="D13" s="576"/>
      <c r="E13" s="576"/>
      <c r="F13" s="576"/>
      <c r="G13" s="576"/>
      <c r="H13" s="576"/>
      <c r="I13" s="576"/>
      <c r="J13" s="576"/>
      <c r="K13" s="576"/>
      <c r="L13" s="576"/>
      <c r="M13" s="576"/>
      <c r="N13" s="576"/>
      <c r="O13" s="576"/>
      <c r="P13" s="576"/>
      <c r="Q13" s="576"/>
      <c r="R13" s="576"/>
      <c r="S13" s="576"/>
    </row>
    <row r="14" spans="1:19" ht="12.75">
      <c r="A14" s="575"/>
      <c r="B14" s="576"/>
      <c r="C14" s="576"/>
      <c r="D14" s="576"/>
      <c r="E14" s="576"/>
      <c r="F14" s="576"/>
      <c r="G14" s="576"/>
      <c r="H14" s="576"/>
      <c r="I14" s="576"/>
      <c r="J14" s="576"/>
      <c r="K14" s="576"/>
      <c r="L14" s="576"/>
      <c r="M14" s="576"/>
      <c r="N14" s="576"/>
      <c r="O14" s="576"/>
      <c r="P14" s="576"/>
      <c r="Q14" s="576"/>
      <c r="R14" s="576"/>
      <c r="S14" s="576"/>
    </row>
    <row r="15" spans="1:19" ht="12.75">
      <c r="A15" s="955" t="s">
        <v>540</v>
      </c>
      <c r="B15" s="576"/>
      <c r="C15" s="576"/>
      <c r="D15" s="576"/>
      <c r="E15" s="576"/>
      <c r="F15" s="576"/>
      <c r="G15" s="576"/>
      <c r="H15" s="576"/>
      <c r="I15" s="576"/>
      <c r="J15" s="576"/>
      <c r="K15" s="576"/>
      <c r="L15" s="576"/>
      <c r="M15" s="576"/>
      <c r="N15" s="576"/>
      <c r="O15" s="576"/>
      <c r="P15" s="576"/>
      <c r="Q15" s="576"/>
      <c r="R15" s="576"/>
      <c r="S15" s="576"/>
    </row>
    <row r="16" spans="1:19" ht="12.75">
      <c r="A16" s="575" t="s">
        <v>541</v>
      </c>
      <c r="B16" s="576"/>
      <c r="C16" s="576"/>
      <c r="D16" s="576"/>
      <c r="E16" s="576"/>
      <c r="F16" s="576"/>
      <c r="G16" s="576"/>
      <c r="H16" s="576"/>
      <c r="I16" s="576"/>
      <c r="J16" s="576"/>
      <c r="K16" s="576"/>
      <c r="L16" s="576"/>
      <c r="M16" s="576"/>
      <c r="N16" s="576"/>
      <c r="O16" s="576"/>
      <c r="P16" s="576"/>
      <c r="Q16" s="576"/>
      <c r="R16" s="576"/>
      <c r="S16" s="576"/>
    </row>
    <row r="17" spans="1:19" ht="12.75">
      <c r="A17" s="575" t="s">
        <v>542</v>
      </c>
      <c r="B17" s="576"/>
      <c r="C17" s="576"/>
      <c r="D17" s="576"/>
      <c r="E17" s="576"/>
      <c r="F17" s="576"/>
      <c r="G17" s="576"/>
      <c r="H17" s="576"/>
      <c r="I17" s="576"/>
      <c r="J17" s="576"/>
      <c r="K17" s="576"/>
      <c r="L17" s="576"/>
      <c r="M17" s="576"/>
      <c r="N17" s="576"/>
      <c r="O17" s="576"/>
      <c r="P17" s="576"/>
      <c r="Q17" s="576"/>
      <c r="R17" s="576"/>
      <c r="S17" s="576"/>
    </row>
    <row r="18" spans="1:19" ht="12.75">
      <c r="A18" s="575" t="s">
        <v>543</v>
      </c>
      <c r="B18" s="576"/>
      <c r="C18" s="576"/>
      <c r="D18" s="576"/>
      <c r="E18" s="576"/>
      <c r="F18" s="576"/>
      <c r="G18" s="576"/>
      <c r="H18" s="576"/>
      <c r="I18" s="576"/>
      <c r="J18" s="576"/>
      <c r="K18" s="576"/>
      <c r="L18" s="576"/>
      <c r="M18" s="576"/>
      <c r="N18" s="576"/>
      <c r="O18" s="576"/>
      <c r="P18" s="576"/>
      <c r="Q18" s="576"/>
      <c r="R18" s="576"/>
      <c r="S18" s="576"/>
    </row>
    <row r="19" spans="1:19" ht="12.75">
      <c r="A19" s="575" t="s">
        <v>538</v>
      </c>
      <c r="B19" s="576"/>
      <c r="C19" s="576"/>
      <c r="D19" s="576"/>
      <c r="E19" s="576"/>
      <c r="F19" s="576"/>
      <c r="G19" s="576"/>
      <c r="H19" s="576"/>
      <c r="I19" s="576"/>
      <c r="J19" s="576"/>
      <c r="K19" s="576"/>
      <c r="L19" s="576"/>
      <c r="M19" s="576"/>
      <c r="N19" s="576"/>
      <c r="O19" s="576"/>
      <c r="P19" s="576"/>
      <c r="Q19" s="576"/>
      <c r="R19" s="576"/>
      <c r="S19" s="576"/>
    </row>
    <row r="20" spans="1:19" ht="12.75">
      <c r="A20" s="576" t="s">
        <v>539</v>
      </c>
      <c r="B20" s="576"/>
      <c r="C20" s="576"/>
      <c r="D20" s="576"/>
      <c r="E20" s="576"/>
      <c r="F20" s="576"/>
      <c r="G20" s="576"/>
      <c r="H20" s="576"/>
      <c r="I20" s="576"/>
      <c r="J20" s="576"/>
      <c r="K20" s="576"/>
      <c r="L20" s="576"/>
      <c r="M20" s="576"/>
      <c r="N20" s="576"/>
      <c r="O20" s="576"/>
      <c r="P20" s="576"/>
      <c r="Q20" s="576"/>
      <c r="R20" s="576"/>
      <c r="S20" s="576"/>
    </row>
    <row r="21" spans="1:19" ht="12.75">
      <c r="A21" s="576"/>
      <c r="B21" s="576"/>
      <c r="C21" s="576"/>
      <c r="D21" s="576"/>
      <c r="E21" s="576"/>
      <c r="F21" s="576"/>
      <c r="G21" s="576"/>
      <c r="H21" s="576"/>
      <c r="I21" s="576"/>
      <c r="J21" s="576"/>
      <c r="K21" s="576"/>
      <c r="L21" s="576"/>
      <c r="M21" s="576"/>
      <c r="N21" s="576"/>
      <c r="O21" s="576"/>
      <c r="P21" s="576"/>
      <c r="Q21" s="576"/>
      <c r="R21" s="576"/>
      <c r="S21" s="576"/>
    </row>
    <row r="22" spans="1:19" ht="12.75">
      <c r="A22" s="576" t="s">
        <v>554</v>
      </c>
      <c r="B22" s="576"/>
      <c r="C22" s="576"/>
      <c r="D22" s="576"/>
      <c r="E22" s="576"/>
      <c r="F22" s="576"/>
      <c r="G22" s="576"/>
      <c r="H22" s="576"/>
      <c r="I22" s="576"/>
      <c r="J22" s="576"/>
      <c r="K22" s="576"/>
      <c r="L22" s="576"/>
      <c r="M22" s="576"/>
      <c r="N22" s="576"/>
      <c r="O22" s="576"/>
      <c r="P22" s="576"/>
      <c r="Q22" s="576"/>
      <c r="R22" s="576"/>
      <c r="S22" s="576"/>
    </row>
    <row r="23" spans="1:19" ht="38.25">
      <c r="A23" s="1180" t="s">
        <v>555</v>
      </c>
      <c r="B23" s="576"/>
      <c r="C23" s="576"/>
      <c r="D23" s="576"/>
      <c r="E23" s="576"/>
      <c r="F23" s="576"/>
      <c r="G23" s="576"/>
      <c r="H23" s="576"/>
      <c r="I23" s="576"/>
      <c r="J23" s="576"/>
      <c r="K23" s="576"/>
      <c r="L23" s="576"/>
      <c r="M23" s="576"/>
      <c r="N23" s="576"/>
      <c r="O23" s="576"/>
      <c r="P23" s="576"/>
      <c r="Q23" s="576"/>
      <c r="R23" s="576"/>
      <c r="S23" s="576"/>
    </row>
    <row r="24" spans="1:19" ht="12.75">
      <c r="A24" s="576"/>
      <c r="B24" s="576"/>
      <c r="C24" s="576"/>
      <c r="D24" s="576"/>
      <c r="E24" s="576"/>
      <c r="F24" s="576"/>
      <c r="G24" s="576"/>
      <c r="H24" s="576"/>
      <c r="I24" s="576"/>
      <c r="J24" s="576"/>
      <c r="K24" s="576"/>
      <c r="L24" s="576"/>
      <c r="M24" s="576"/>
      <c r="N24" s="576"/>
      <c r="O24" s="576"/>
      <c r="P24" s="576"/>
      <c r="Q24" s="576"/>
      <c r="R24" s="576"/>
      <c r="S24" s="576"/>
    </row>
    <row r="25" spans="1:19" s="588" customFormat="1" ht="25.5">
      <c r="A25" s="1180" t="s">
        <v>556</v>
      </c>
      <c r="B25" s="1180"/>
      <c r="C25" s="1180"/>
      <c r="D25" s="1180"/>
      <c r="E25" s="1180"/>
      <c r="F25" s="1180"/>
      <c r="G25" s="1180"/>
      <c r="H25" s="1180"/>
      <c r="I25" s="1180"/>
      <c r="J25" s="1180"/>
      <c r="K25" s="1180"/>
      <c r="L25" s="1180"/>
      <c r="M25" s="1180"/>
      <c r="N25" s="1180"/>
      <c r="O25" s="1180"/>
      <c r="P25" s="1180"/>
      <c r="Q25" s="1180"/>
      <c r="R25" s="1180"/>
      <c r="S25" s="1180"/>
    </row>
    <row r="26" spans="1:19" ht="12.75">
      <c r="A26" s="576"/>
      <c r="B26" s="576"/>
      <c r="C26" s="576"/>
      <c r="D26" s="576"/>
      <c r="E26" s="576"/>
      <c r="F26" s="576"/>
      <c r="G26" s="576"/>
      <c r="H26" s="576"/>
      <c r="I26" s="576"/>
      <c r="J26" s="576"/>
      <c r="K26" s="576"/>
      <c r="L26" s="576"/>
      <c r="M26" s="576"/>
      <c r="N26" s="576"/>
      <c r="O26" s="576"/>
      <c r="P26" s="576"/>
      <c r="Q26" s="576"/>
      <c r="R26" s="576"/>
      <c r="S26" s="576"/>
    </row>
    <row r="27" spans="1:19" ht="12.75">
      <c r="A27" s="576" t="s">
        <v>557</v>
      </c>
      <c r="B27" s="576"/>
      <c r="C27" s="576"/>
      <c r="D27" s="576"/>
      <c r="E27" s="576"/>
      <c r="F27" s="576"/>
      <c r="G27" s="576"/>
      <c r="H27" s="576"/>
      <c r="I27" s="576"/>
      <c r="J27" s="576"/>
      <c r="K27" s="576"/>
      <c r="L27" s="576"/>
      <c r="M27" s="576"/>
      <c r="N27" s="576"/>
      <c r="O27" s="576"/>
      <c r="P27" s="576"/>
      <c r="Q27" s="576"/>
      <c r="R27" s="576"/>
      <c r="S27" s="576"/>
    </row>
    <row r="28" spans="1:19" ht="12.75">
      <c r="A28" s="576" t="s">
        <v>558</v>
      </c>
      <c r="B28" s="576"/>
      <c r="C28" s="576"/>
      <c r="D28" s="576"/>
      <c r="E28" s="576"/>
      <c r="F28" s="576"/>
      <c r="G28" s="576"/>
      <c r="H28" s="576"/>
      <c r="I28" s="576"/>
      <c r="J28" s="576"/>
      <c r="K28" s="576"/>
      <c r="L28" s="576"/>
      <c r="M28" s="576"/>
      <c r="N28" s="576"/>
      <c r="O28" s="576"/>
      <c r="P28" s="576"/>
      <c r="Q28" s="576"/>
      <c r="R28" s="576"/>
      <c r="S28" s="576"/>
    </row>
    <row r="29" spans="1:19" ht="12.75">
      <c r="A29" s="576" t="s">
        <v>559</v>
      </c>
      <c r="B29" s="576"/>
      <c r="C29" s="576"/>
      <c r="D29" s="576"/>
      <c r="E29" s="576"/>
      <c r="F29" s="576"/>
      <c r="G29" s="576"/>
      <c r="H29" s="576"/>
      <c r="I29" s="576"/>
      <c r="J29" s="576"/>
      <c r="K29" s="576"/>
      <c r="L29" s="576"/>
      <c r="M29" s="576"/>
      <c r="N29" s="576"/>
      <c r="O29" s="576"/>
      <c r="P29" s="576"/>
      <c r="Q29" s="576"/>
      <c r="R29" s="576"/>
      <c r="S29" s="576"/>
    </row>
    <row r="30" spans="1:19" ht="12.75">
      <c r="A30" s="576"/>
      <c r="B30" s="576"/>
      <c r="C30" s="576"/>
      <c r="D30" s="576"/>
      <c r="E30" s="576"/>
      <c r="F30" s="576"/>
      <c r="G30" s="576"/>
      <c r="H30" s="576"/>
      <c r="I30" s="576"/>
      <c r="J30" s="576"/>
      <c r="K30" s="576"/>
      <c r="L30" s="576"/>
      <c r="M30" s="576"/>
      <c r="N30" s="576"/>
      <c r="O30" s="576"/>
      <c r="P30" s="576"/>
      <c r="Q30" s="576"/>
      <c r="R30" s="576"/>
      <c r="S30" s="576"/>
    </row>
    <row r="31" spans="1:19" ht="12.75">
      <c r="A31" s="576"/>
      <c r="B31" s="576"/>
      <c r="C31" s="576"/>
      <c r="D31" s="576"/>
      <c r="E31" s="576"/>
      <c r="F31" s="576"/>
      <c r="G31" s="576"/>
      <c r="H31" s="576"/>
      <c r="I31" s="576"/>
      <c r="J31" s="576"/>
      <c r="K31" s="576"/>
      <c r="L31" s="576"/>
      <c r="M31" s="576"/>
      <c r="N31" s="576"/>
      <c r="O31" s="576"/>
      <c r="P31" s="576"/>
      <c r="Q31" s="576"/>
      <c r="R31" s="576"/>
      <c r="S31" s="576"/>
    </row>
    <row r="32" spans="1:19" ht="12.75">
      <c r="A32" s="576"/>
      <c r="B32" s="576"/>
      <c r="C32" s="576"/>
      <c r="D32" s="576"/>
      <c r="E32" s="576"/>
      <c r="F32" s="576"/>
      <c r="G32" s="576"/>
      <c r="H32" s="576"/>
      <c r="I32" s="576"/>
      <c r="J32" s="576"/>
      <c r="K32" s="576"/>
      <c r="L32" s="576"/>
      <c r="M32" s="576"/>
      <c r="N32" s="576"/>
      <c r="O32" s="576"/>
      <c r="P32" s="576"/>
      <c r="Q32" s="576"/>
      <c r="R32" s="576"/>
      <c r="S32" s="576"/>
    </row>
    <row r="33" spans="1:19" ht="12.75">
      <c r="A33" s="576"/>
      <c r="B33" s="576"/>
      <c r="C33" s="576"/>
      <c r="D33" s="576"/>
      <c r="E33" s="576"/>
      <c r="F33" s="576"/>
      <c r="G33" s="576"/>
      <c r="H33" s="576"/>
      <c r="I33" s="576"/>
      <c r="J33" s="576"/>
      <c r="K33" s="576"/>
      <c r="L33" s="576"/>
      <c r="M33" s="576"/>
      <c r="N33" s="576"/>
      <c r="O33" s="576"/>
      <c r="P33" s="576"/>
      <c r="Q33" s="576"/>
      <c r="R33" s="576"/>
      <c r="S33" s="576"/>
    </row>
    <row r="34" spans="1:19" ht="12.75">
      <c r="A34" s="576"/>
      <c r="B34" s="576"/>
      <c r="C34" s="576"/>
      <c r="D34" s="576"/>
      <c r="E34" s="576"/>
      <c r="F34" s="576"/>
      <c r="G34" s="576"/>
      <c r="H34" s="576"/>
      <c r="I34" s="576"/>
      <c r="J34" s="576"/>
      <c r="K34" s="576"/>
      <c r="L34" s="576"/>
      <c r="M34" s="576"/>
      <c r="N34" s="576"/>
      <c r="O34" s="576"/>
      <c r="P34" s="576"/>
      <c r="Q34" s="576"/>
      <c r="R34" s="576"/>
      <c r="S34" s="576"/>
    </row>
    <row r="35" spans="1:19" ht="12.75">
      <c r="A35" s="576"/>
      <c r="B35" s="576"/>
      <c r="C35" s="576"/>
      <c r="D35" s="576"/>
      <c r="E35" s="576"/>
      <c r="F35" s="576"/>
      <c r="G35" s="576"/>
      <c r="H35" s="576"/>
      <c r="I35" s="576"/>
      <c r="J35" s="576"/>
      <c r="K35" s="576"/>
      <c r="L35" s="576"/>
      <c r="M35" s="576"/>
      <c r="N35" s="576"/>
      <c r="O35" s="576"/>
      <c r="P35" s="576"/>
      <c r="Q35" s="576"/>
      <c r="R35" s="576"/>
      <c r="S35" s="576"/>
    </row>
    <row r="36" spans="1:19" ht="12.75">
      <c r="A36" s="576"/>
      <c r="B36" s="576"/>
      <c r="C36" s="576"/>
      <c r="D36" s="576"/>
      <c r="E36" s="576"/>
      <c r="F36" s="576"/>
      <c r="G36" s="576"/>
      <c r="H36" s="576"/>
      <c r="I36" s="576"/>
      <c r="J36" s="576"/>
      <c r="K36" s="576"/>
      <c r="L36" s="576"/>
      <c r="M36" s="576"/>
      <c r="N36" s="576"/>
      <c r="O36" s="576"/>
      <c r="P36" s="576"/>
      <c r="Q36" s="576"/>
      <c r="R36" s="576"/>
      <c r="S36" s="576"/>
    </row>
    <row r="37" spans="1:19" ht="12.75">
      <c r="A37" s="576"/>
      <c r="B37" s="576"/>
      <c r="C37" s="576"/>
      <c r="D37" s="576"/>
      <c r="E37" s="576"/>
      <c r="F37" s="576"/>
      <c r="G37" s="576"/>
      <c r="H37" s="576"/>
      <c r="I37" s="576"/>
      <c r="J37" s="576"/>
      <c r="K37" s="576"/>
      <c r="L37" s="576"/>
      <c r="M37" s="576"/>
      <c r="N37" s="576"/>
      <c r="O37" s="576"/>
      <c r="P37" s="576"/>
      <c r="Q37" s="576"/>
      <c r="R37" s="576"/>
      <c r="S37" s="576"/>
    </row>
    <row r="38" spans="1:19" ht="12.75">
      <c r="A38" s="576"/>
      <c r="B38" s="576"/>
      <c r="C38" s="576"/>
      <c r="D38" s="576"/>
      <c r="E38" s="576"/>
      <c r="F38" s="576"/>
      <c r="G38" s="576"/>
      <c r="H38" s="576"/>
      <c r="I38" s="576"/>
      <c r="J38" s="576"/>
      <c r="K38" s="576"/>
      <c r="L38" s="576"/>
      <c r="M38" s="576"/>
      <c r="N38" s="576"/>
      <c r="O38" s="576"/>
      <c r="P38" s="576"/>
      <c r="Q38" s="576"/>
      <c r="R38" s="576"/>
      <c r="S38" s="576"/>
    </row>
    <row r="39" spans="1:19" ht="12.75">
      <c r="A39" s="576"/>
      <c r="B39" s="576"/>
      <c r="C39" s="576"/>
      <c r="D39" s="576"/>
      <c r="E39" s="576"/>
      <c r="F39" s="576"/>
      <c r="G39" s="576"/>
      <c r="H39" s="576"/>
      <c r="I39" s="576"/>
      <c r="J39" s="576"/>
      <c r="K39" s="576"/>
      <c r="L39" s="576"/>
      <c r="M39" s="576"/>
      <c r="N39" s="576"/>
      <c r="O39" s="576"/>
      <c r="P39" s="576"/>
      <c r="Q39" s="576"/>
      <c r="R39" s="576"/>
      <c r="S39" s="576"/>
    </row>
    <row r="40" spans="1:19" ht="12.75">
      <c r="A40" s="576"/>
      <c r="B40" s="576"/>
      <c r="C40" s="576"/>
      <c r="D40" s="576"/>
      <c r="E40" s="576"/>
      <c r="F40" s="576"/>
      <c r="G40" s="576"/>
      <c r="H40" s="576"/>
      <c r="I40" s="576"/>
      <c r="J40" s="576"/>
      <c r="K40" s="576"/>
      <c r="L40" s="576"/>
      <c r="M40" s="576"/>
      <c r="N40" s="576"/>
      <c r="O40" s="576"/>
      <c r="P40" s="576"/>
      <c r="Q40" s="576"/>
      <c r="R40" s="576"/>
      <c r="S40" s="576"/>
    </row>
    <row r="41" spans="1:19" ht="12.75">
      <c r="A41" s="576"/>
      <c r="B41" s="576"/>
      <c r="C41" s="576"/>
      <c r="D41" s="576"/>
      <c r="E41" s="576"/>
      <c r="F41" s="576"/>
      <c r="G41" s="576"/>
      <c r="H41" s="576"/>
      <c r="I41" s="576"/>
      <c r="J41" s="576"/>
      <c r="K41" s="576"/>
      <c r="L41" s="576"/>
      <c r="M41" s="576"/>
      <c r="N41" s="576"/>
      <c r="O41" s="576"/>
      <c r="P41" s="576"/>
      <c r="Q41" s="576"/>
      <c r="R41" s="576"/>
      <c r="S41" s="576"/>
    </row>
    <row r="42" spans="1:19" ht="12.75">
      <c r="A42" s="576"/>
      <c r="B42" s="576"/>
      <c r="C42" s="576"/>
      <c r="D42" s="576"/>
      <c r="E42" s="576"/>
      <c r="F42" s="576"/>
      <c r="G42" s="576"/>
      <c r="H42" s="576"/>
      <c r="I42" s="576"/>
      <c r="J42" s="576"/>
      <c r="K42" s="576"/>
      <c r="L42" s="576"/>
      <c r="M42" s="576"/>
      <c r="N42" s="576"/>
      <c r="O42" s="576"/>
      <c r="P42" s="576"/>
      <c r="Q42" s="576"/>
      <c r="R42" s="576"/>
      <c r="S42" s="576"/>
    </row>
    <row r="43" spans="1:19" ht="12.75">
      <c r="A43" s="576"/>
      <c r="B43" s="576"/>
      <c r="C43" s="576"/>
      <c r="D43" s="576"/>
      <c r="E43" s="576"/>
      <c r="F43" s="576"/>
      <c r="G43" s="576"/>
      <c r="H43" s="576"/>
      <c r="I43" s="576"/>
      <c r="J43" s="576"/>
      <c r="K43" s="576"/>
      <c r="L43" s="576"/>
      <c r="M43" s="576"/>
      <c r="N43" s="576"/>
      <c r="O43" s="576"/>
      <c r="P43" s="576"/>
      <c r="Q43" s="576"/>
      <c r="R43" s="576"/>
      <c r="S43" s="576"/>
    </row>
    <row r="44" spans="1:19" ht="12.75">
      <c r="A44" s="576"/>
      <c r="B44" s="576"/>
      <c r="C44" s="576"/>
      <c r="D44" s="576"/>
      <c r="E44" s="576"/>
      <c r="F44" s="576"/>
      <c r="G44" s="576"/>
      <c r="H44" s="576"/>
      <c r="I44" s="576"/>
      <c r="J44" s="576"/>
      <c r="K44" s="576"/>
      <c r="L44" s="576"/>
      <c r="M44" s="576"/>
      <c r="N44" s="576"/>
      <c r="O44" s="576"/>
      <c r="P44" s="576"/>
      <c r="Q44" s="576"/>
      <c r="R44" s="576"/>
      <c r="S44" s="576"/>
    </row>
    <row r="45" spans="1:19" ht="12.75">
      <c r="A45" s="576"/>
      <c r="B45" s="576"/>
      <c r="C45" s="576"/>
      <c r="D45" s="576"/>
      <c r="E45" s="576"/>
      <c r="F45" s="576"/>
      <c r="G45" s="576"/>
      <c r="H45" s="576"/>
      <c r="I45" s="576"/>
      <c r="J45" s="576"/>
      <c r="K45" s="576"/>
      <c r="L45" s="576"/>
      <c r="M45" s="576"/>
      <c r="N45" s="576"/>
      <c r="O45" s="576"/>
      <c r="P45" s="576"/>
      <c r="Q45" s="576"/>
      <c r="R45" s="576"/>
      <c r="S45" s="576"/>
    </row>
    <row r="46" spans="1:19" ht="12.75">
      <c r="A46" s="576"/>
      <c r="B46" s="576"/>
      <c r="C46" s="576"/>
      <c r="D46" s="576"/>
      <c r="E46" s="576"/>
      <c r="F46" s="576"/>
      <c r="G46" s="576"/>
      <c r="H46" s="576"/>
      <c r="I46" s="576"/>
      <c r="J46" s="576"/>
      <c r="K46" s="576"/>
      <c r="L46" s="576"/>
      <c r="M46" s="576"/>
      <c r="N46" s="576"/>
      <c r="O46" s="576"/>
      <c r="P46" s="576"/>
      <c r="Q46" s="576"/>
      <c r="R46" s="576"/>
      <c r="S46" s="576"/>
    </row>
    <row r="47" spans="1:19" ht="12.75">
      <c r="A47" s="576"/>
      <c r="B47" s="576"/>
      <c r="C47" s="576"/>
      <c r="D47" s="576"/>
      <c r="E47" s="576"/>
      <c r="F47" s="576"/>
      <c r="G47" s="576"/>
      <c r="H47" s="576"/>
      <c r="I47" s="576"/>
      <c r="J47" s="576"/>
      <c r="K47" s="576"/>
      <c r="L47" s="576"/>
      <c r="M47" s="576"/>
      <c r="N47" s="576"/>
      <c r="O47" s="576"/>
      <c r="P47" s="576"/>
      <c r="Q47" s="576"/>
      <c r="R47" s="576"/>
      <c r="S47" s="576"/>
    </row>
    <row r="48" spans="1:19" ht="12.75">
      <c r="A48" s="576"/>
      <c r="B48" s="576"/>
      <c r="C48" s="576"/>
      <c r="D48" s="576"/>
      <c r="E48" s="576"/>
      <c r="F48" s="576"/>
      <c r="G48" s="576"/>
      <c r="H48" s="576"/>
      <c r="I48" s="576"/>
      <c r="J48" s="576"/>
      <c r="K48" s="576"/>
      <c r="L48" s="576"/>
      <c r="M48" s="576"/>
      <c r="N48" s="576"/>
      <c r="O48" s="576"/>
      <c r="P48" s="576"/>
      <c r="Q48" s="576"/>
      <c r="R48" s="576"/>
      <c r="S48" s="576"/>
    </row>
    <row r="49" spans="1:19" ht="12.75">
      <c r="A49" s="576"/>
      <c r="B49" s="576"/>
      <c r="C49" s="576"/>
      <c r="D49" s="576"/>
      <c r="E49" s="576"/>
      <c r="F49" s="576"/>
      <c r="G49" s="576"/>
      <c r="H49" s="576"/>
      <c r="I49" s="576"/>
      <c r="J49" s="576"/>
      <c r="K49" s="576"/>
      <c r="L49" s="576"/>
      <c r="M49" s="576"/>
      <c r="N49" s="576"/>
      <c r="O49" s="576"/>
      <c r="P49" s="576"/>
      <c r="Q49" s="576"/>
      <c r="R49" s="576"/>
      <c r="S49" s="576"/>
    </row>
    <row r="50" spans="1:19" ht="12.75">
      <c r="A50" s="576"/>
      <c r="B50" s="576"/>
      <c r="C50" s="576"/>
      <c r="D50" s="576"/>
      <c r="E50" s="576"/>
      <c r="F50" s="576"/>
      <c r="G50" s="576"/>
      <c r="H50" s="576"/>
      <c r="I50" s="576"/>
      <c r="J50" s="576"/>
      <c r="K50" s="576"/>
      <c r="L50" s="576"/>
      <c r="M50" s="576"/>
      <c r="N50" s="576"/>
      <c r="O50" s="576"/>
      <c r="P50" s="576"/>
      <c r="Q50" s="576"/>
      <c r="R50" s="576"/>
      <c r="S50" s="576"/>
    </row>
    <row r="51" spans="1:19" ht="12.75">
      <c r="A51" s="576"/>
      <c r="B51" s="576"/>
      <c r="C51" s="576"/>
      <c r="D51" s="576"/>
      <c r="E51" s="576"/>
      <c r="F51" s="576"/>
      <c r="G51" s="576"/>
      <c r="H51" s="576"/>
      <c r="I51" s="576"/>
      <c r="J51" s="576"/>
      <c r="K51" s="576"/>
      <c r="L51" s="576"/>
      <c r="M51" s="576"/>
      <c r="N51" s="576"/>
      <c r="O51" s="576"/>
      <c r="P51" s="576"/>
      <c r="Q51" s="576"/>
      <c r="R51" s="576"/>
      <c r="S51" s="576"/>
    </row>
  </sheetData>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2:AQ541"/>
  <sheetViews>
    <sheetView showGridLines="0" zoomScale="75" zoomScaleNormal="75" workbookViewId="0" topLeftCell="B38">
      <selection activeCell="B38" sqref="B38"/>
    </sheetView>
  </sheetViews>
  <sheetFormatPr defaultColWidth="9.140625" defaultRowHeight="12.75"/>
  <cols>
    <col min="1" max="1" width="0.5625" style="0" customWidth="1"/>
    <col min="2" max="6" width="10.28125" style="0" customWidth="1"/>
    <col min="7" max="7" width="0.5625" style="73" customWidth="1"/>
    <col min="8" max="9" width="10.28125" style="0" customWidth="1"/>
    <col min="10" max="10" width="0.5625" style="0" customWidth="1"/>
    <col min="11" max="12" width="10.28125" style="0" customWidth="1"/>
    <col min="13" max="13" width="0.5625" style="0" customWidth="1"/>
    <col min="14" max="15" width="10.28125" style="0" customWidth="1"/>
    <col min="16" max="16" width="0.5625" style="0" customWidth="1"/>
    <col min="17" max="18" width="10.28125" style="0" customWidth="1"/>
    <col min="19" max="19" width="0.71875" style="0" customWidth="1"/>
    <col min="20" max="21" width="10.28125" style="0" customWidth="1"/>
    <col min="22" max="22" width="0.85546875" style="0" customWidth="1"/>
  </cols>
  <sheetData>
    <row r="1" ht="12.75"/>
    <row r="2" spans="2:11" ht="18.75" thickBot="1">
      <c r="B2" s="83" t="s">
        <v>1</v>
      </c>
      <c r="E2" s="358"/>
      <c r="F2" s="359"/>
      <c r="G2" s="360"/>
      <c r="H2" s="359"/>
      <c r="I2" s="359"/>
      <c r="J2" s="359"/>
      <c r="K2" s="359"/>
    </row>
    <row r="3" spans="1:19" ht="7.5" customHeight="1" thickBot="1">
      <c r="A3" s="22"/>
      <c r="B3" s="14"/>
      <c r="C3" s="14"/>
      <c r="D3" s="14"/>
      <c r="E3" s="14"/>
      <c r="F3" s="14"/>
      <c r="G3" s="84"/>
      <c r="H3" s="14"/>
      <c r="I3" s="14"/>
      <c r="J3" s="14"/>
      <c r="K3" s="14"/>
      <c r="L3" s="14"/>
      <c r="M3" s="14"/>
      <c r="N3" s="14"/>
      <c r="O3" s="14"/>
      <c r="P3" s="14"/>
      <c r="Q3" s="14"/>
      <c r="R3" s="14"/>
      <c r="S3" s="21"/>
    </row>
    <row r="4" spans="1:19" ht="12.75" customHeight="1" thickBot="1">
      <c r="A4" s="12"/>
      <c r="B4" s="31"/>
      <c r="C4" s="23"/>
      <c r="D4" s="23"/>
      <c r="E4" s="376" t="s">
        <v>2</v>
      </c>
      <c r="F4" s="377">
        <v>60</v>
      </c>
      <c r="G4" s="274"/>
      <c r="H4" s="86" t="s">
        <v>3</v>
      </c>
      <c r="I4" s="119"/>
      <c r="J4" s="92"/>
      <c r="K4" s="92"/>
      <c r="L4" s="244"/>
      <c r="M4" s="25"/>
      <c r="N4" s="86" t="s">
        <v>4</v>
      </c>
      <c r="O4" s="119"/>
      <c r="P4" s="92"/>
      <c r="Q4" s="92"/>
      <c r="R4" s="244"/>
      <c r="S4" s="19"/>
    </row>
    <row r="5" spans="1:19" ht="12.75" customHeight="1">
      <c r="A5" s="12"/>
      <c r="B5" s="33"/>
      <c r="C5" s="6"/>
      <c r="D5" s="6"/>
      <c r="E5" s="378" t="s">
        <v>5</v>
      </c>
      <c r="F5" s="379"/>
      <c r="G5" s="274"/>
      <c r="H5" s="245" t="s">
        <v>6</v>
      </c>
      <c r="I5" s="406"/>
      <c r="J5" s="406"/>
      <c r="K5" s="406"/>
      <c r="L5" s="407"/>
      <c r="M5" s="25"/>
      <c r="N5" s="245" t="s">
        <v>7</v>
      </c>
      <c r="O5" s="406" t="s">
        <v>8</v>
      </c>
      <c r="P5" s="406"/>
      <c r="Q5" s="406"/>
      <c r="R5" s="407"/>
      <c r="S5" s="19"/>
    </row>
    <row r="6" spans="1:19" ht="12.75" customHeight="1" thickBot="1">
      <c r="A6" s="12"/>
      <c r="B6" s="35"/>
      <c r="C6" s="26"/>
      <c r="D6" s="26"/>
      <c r="E6" s="380" t="s">
        <v>9</v>
      </c>
      <c r="F6" s="381"/>
      <c r="G6" s="274"/>
      <c r="H6" s="246" t="s">
        <v>10</v>
      </c>
      <c r="I6" s="408"/>
      <c r="J6" s="408"/>
      <c r="K6" s="408"/>
      <c r="L6" s="409"/>
      <c r="M6" s="25"/>
      <c r="N6" s="246" t="s">
        <v>10</v>
      </c>
      <c r="O6" s="230" t="s">
        <v>11</v>
      </c>
      <c r="P6" s="230"/>
      <c r="Q6" s="230"/>
      <c r="R6" s="247"/>
      <c r="S6" s="19"/>
    </row>
    <row r="7" spans="1:19" ht="12.75" customHeight="1" thickBot="1">
      <c r="A7" s="12"/>
      <c r="B7" s="165" t="s">
        <v>12</v>
      </c>
      <c r="C7" s="166"/>
      <c r="D7" s="166"/>
      <c r="E7" s="382" t="s">
        <v>13</v>
      </c>
      <c r="F7" s="383" t="s">
        <v>14</v>
      </c>
      <c r="G7" s="274"/>
      <c r="H7" s="248"/>
      <c r="I7" s="85" t="s">
        <v>15</v>
      </c>
      <c r="J7" s="196"/>
      <c r="K7" s="410"/>
      <c r="L7" s="411"/>
      <c r="M7" s="25"/>
      <c r="N7" s="248"/>
      <c r="O7" s="85" t="s">
        <v>16</v>
      </c>
      <c r="P7" s="212"/>
      <c r="Q7" s="410"/>
      <c r="R7" s="411"/>
      <c r="S7" s="19"/>
    </row>
    <row r="8" spans="1:21" ht="12.75" customHeight="1">
      <c r="A8" s="12"/>
      <c r="B8" s="47"/>
      <c r="C8" s="10"/>
      <c r="D8" s="313" t="s">
        <v>17</v>
      </c>
      <c r="E8" s="384">
        <f>1-F8</f>
        <v>1</v>
      </c>
      <c r="F8" s="385"/>
      <c r="G8" s="274"/>
      <c r="H8" s="107"/>
      <c r="I8" s="82" t="s">
        <v>18</v>
      </c>
      <c r="J8" s="196"/>
      <c r="K8" s="412"/>
      <c r="L8" s="413"/>
      <c r="M8" s="25"/>
      <c r="N8" s="107"/>
      <c r="O8" s="82" t="s">
        <v>19</v>
      </c>
      <c r="P8" s="212"/>
      <c r="Q8" s="412"/>
      <c r="R8" s="413"/>
      <c r="S8" s="19"/>
      <c r="U8" s="188"/>
    </row>
    <row r="9" spans="1:19" ht="12.75" customHeight="1" thickBot="1">
      <c r="A9" s="12"/>
      <c r="B9" s="33"/>
      <c r="C9" s="6"/>
      <c r="D9" s="152" t="s">
        <v>20</v>
      </c>
      <c r="E9" s="386">
        <v>10.79</v>
      </c>
      <c r="F9" s="386">
        <v>10.79</v>
      </c>
      <c r="G9" s="274"/>
      <c r="H9" s="249"/>
      <c r="I9" s="90" t="s">
        <v>21</v>
      </c>
      <c r="J9" s="197"/>
      <c r="K9" s="414"/>
      <c r="L9" s="415"/>
      <c r="M9" s="25"/>
      <c r="N9" s="249"/>
      <c r="O9" s="90" t="s">
        <v>22</v>
      </c>
      <c r="P9" s="230"/>
      <c r="Q9" s="416"/>
      <c r="R9" s="415"/>
      <c r="S9" s="19"/>
    </row>
    <row r="10" spans="1:19" ht="12.75" customHeight="1">
      <c r="A10" s="12"/>
      <c r="B10" s="47"/>
      <c r="C10" s="10"/>
      <c r="D10" s="154" t="s">
        <v>23</v>
      </c>
      <c r="E10" s="387">
        <v>0.3</v>
      </c>
      <c r="F10" s="387">
        <v>1</v>
      </c>
      <c r="G10" s="274"/>
      <c r="H10" s="290" t="s">
        <v>24</v>
      </c>
      <c r="I10" s="119"/>
      <c r="J10" s="119"/>
      <c r="K10" s="119"/>
      <c r="L10" s="119"/>
      <c r="M10" s="119"/>
      <c r="N10" s="119"/>
      <c r="O10" s="119"/>
      <c r="P10" s="119"/>
      <c r="Q10" s="119"/>
      <c r="R10" s="195"/>
      <c r="S10" s="19"/>
    </row>
    <row r="11" spans="1:19" ht="12.75" customHeight="1" thickBot="1">
      <c r="A11" s="12"/>
      <c r="B11" s="33"/>
      <c r="C11" s="6"/>
      <c r="D11" s="152" t="s">
        <v>25</v>
      </c>
      <c r="E11" s="387"/>
      <c r="F11" s="387"/>
      <c r="G11" s="275"/>
      <c r="H11" s="156"/>
      <c r="I11" s="3"/>
      <c r="J11" s="3"/>
      <c r="K11" s="3"/>
      <c r="L11" s="3"/>
      <c r="M11" s="13"/>
      <c r="N11" s="13"/>
      <c r="O11" s="13"/>
      <c r="P11" s="13"/>
      <c r="Q11" s="13"/>
      <c r="R11" s="155"/>
      <c r="S11" s="19"/>
    </row>
    <row r="12" spans="1:19" ht="6" customHeight="1" thickBot="1">
      <c r="A12" s="12"/>
      <c r="B12" s="284"/>
      <c r="C12" s="284"/>
      <c r="D12" s="284"/>
      <c r="E12" s="284"/>
      <c r="F12" s="284"/>
      <c r="G12" s="63"/>
      <c r="H12" s="284"/>
      <c r="I12" s="284"/>
      <c r="J12" s="23"/>
      <c r="K12" s="284"/>
      <c r="L12" s="284"/>
      <c r="M12" s="23"/>
      <c r="N12" s="284"/>
      <c r="O12" s="284"/>
      <c r="P12" s="23"/>
      <c r="Q12" s="284"/>
      <c r="R12" s="284"/>
      <c r="S12" s="19"/>
    </row>
    <row r="13" spans="1:19" ht="12.75" customHeight="1" thickBot="1">
      <c r="A13" s="12"/>
      <c r="B13" s="165" t="s">
        <v>26</v>
      </c>
      <c r="C13" s="168"/>
      <c r="D13" s="166"/>
      <c r="E13" s="166"/>
      <c r="F13" s="169"/>
      <c r="G13" s="271"/>
      <c r="H13" s="388" t="s">
        <v>27</v>
      </c>
      <c r="I13" s="389"/>
      <c r="J13" s="390"/>
      <c r="K13" s="388" t="s">
        <v>28</v>
      </c>
      <c r="L13" s="389"/>
      <c r="M13" s="390"/>
      <c r="N13" s="388" t="s">
        <v>29</v>
      </c>
      <c r="O13" s="389"/>
      <c r="P13" s="390"/>
      <c r="Q13" s="388" t="s">
        <v>30</v>
      </c>
      <c r="R13" s="389"/>
      <c r="S13" s="27"/>
    </row>
    <row r="14" spans="1:21" ht="12.75" customHeight="1" thickBot="1">
      <c r="A14" s="12"/>
      <c r="B14" s="74"/>
      <c r="C14" s="75"/>
      <c r="D14" s="76"/>
      <c r="E14" s="76"/>
      <c r="F14" s="283" t="s">
        <v>31</v>
      </c>
      <c r="G14" s="272"/>
      <c r="H14" s="391"/>
      <c r="I14" s="392"/>
      <c r="J14" s="390"/>
      <c r="K14" s="391"/>
      <c r="L14" s="393"/>
      <c r="M14" s="390"/>
      <c r="N14" s="394"/>
      <c r="O14" s="393"/>
      <c r="P14" s="390"/>
      <c r="Q14" s="394"/>
      <c r="R14" s="393"/>
      <c r="S14" s="27"/>
      <c r="U14" s="185"/>
    </row>
    <row r="15" spans="1:43" s="55" customFormat="1" ht="12.75" customHeight="1" thickBot="1">
      <c r="A15" s="94"/>
      <c r="B15" s="363" t="s">
        <v>32</v>
      </c>
      <c r="C15" s="364"/>
      <c r="D15" s="364"/>
      <c r="E15" s="364"/>
      <c r="F15" s="366" t="s">
        <v>33</v>
      </c>
      <c r="G15" s="27"/>
      <c r="H15" s="395" t="s">
        <v>34</v>
      </c>
      <c r="I15" s="395" t="s">
        <v>35</v>
      </c>
      <c r="J15" s="396"/>
      <c r="K15" s="395" t="s">
        <v>34</v>
      </c>
      <c r="L15" s="395" t="s">
        <v>35</v>
      </c>
      <c r="M15" s="396"/>
      <c r="N15" s="395" t="s">
        <v>34</v>
      </c>
      <c r="O15" s="395" t="s">
        <v>35</v>
      </c>
      <c r="P15" s="396"/>
      <c r="Q15" s="395" t="s">
        <v>34</v>
      </c>
      <c r="R15" s="395" t="s">
        <v>35</v>
      </c>
      <c r="S15" s="27"/>
      <c r="T15" s="238"/>
      <c r="U15"/>
      <c r="V15"/>
      <c r="W15"/>
      <c r="X15"/>
      <c r="Y15"/>
      <c r="Z15"/>
      <c r="AA15"/>
      <c r="AB15"/>
      <c r="AC15"/>
      <c r="AD15"/>
      <c r="AE15"/>
      <c r="AF15"/>
      <c r="AG15"/>
      <c r="AH15"/>
      <c r="AI15"/>
      <c r="AJ15"/>
      <c r="AK15"/>
      <c r="AL15"/>
      <c r="AM15"/>
      <c r="AN15"/>
      <c r="AO15"/>
      <c r="AP15"/>
      <c r="AQ15"/>
    </row>
    <row r="16" spans="1:19" ht="12.75" customHeight="1">
      <c r="A16" s="12"/>
      <c r="B16" s="350"/>
      <c r="C16" s="351"/>
      <c r="D16" s="352" t="s">
        <v>36</v>
      </c>
      <c r="E16" s="353"/>
      <c r="F16" s="158" t="s">
        <v>37</v>
      </c>
      <c r="G16" s="239"/>
      <c r="H16" s="397"/>
      <c r="I16" s="398" t="s">
        <v>38</v>
      </c>
      <c r="J16" s="399"/>
      <c r="K16" s="397"/>
      <c r="L16" s="398" t="s">
        <v>38</v>
      </c>
      <c r="M16" s="399"/>
      <c r="N16" s="397"/>
      <c r="O16" s="398" t="s">
        <v>38</v>
      </c>
      <c r="P16" s="399"/>
      <c r="Q16" s="397"/>
      <c r="R16" s="398" t="s">
        <v>38</v>
      </c>
      <c r="S16" s="27"/>
    </row>
    <row r="17" spans="1:19" ht="12.75" customHeight="1" thickBot="1">
      <c r="A17" s="12"/>
      <c r="B17" s="354"/>
      <c r="C17" s="60"/>
      <c r="D17" s="355"/>
      <c r="E17" s="61"/>
      <c r="F17" s="159" t="s">
        <v>39</v>
      </c>
      <c r="G17" s="239"/>
      <c r="H17" s="400"/>
      <c r="I17" s="400"/>
      <c r="J17" s="399"/>
      <c r="K17" s="400"/>
      <c r="L17" s="400"/>
      <c r="M17" s="399"/>
      <c r="N17" s="400"/>
      <c r="O17" s="400"/>
      <c r="P17" s="399"/>
      <c r="Q17" s="400"/>
      <c r="R17" s="400"/>
      <c r="S17" s="27"/>
    </row>
    <row r="18" spans="1:19" ht="12.75" customHeight="1">
      <c r="A18" s="12"/>
      <c r="B18" s="350"/>
      <c r="C18" s="351"/>
      <c r="D18" s="352" t="s">
        <v>40</v>
      </c>
      <c r="E18" s="353"/>
      <c r="F18" s="158" t="s">
        <v>37</v>
      </c>
      <c r="G18" s="239"/>
      <c r="H18" s="397"/>
      <c r="I18" s="397"/>
      <c r="J18" s="399"/>
      <c r="K18" s="397"/>
      <c r="L18" s="397"/>
      <c r="M18" s="399"/>
      <c r="N18" s="397"/>
      <c r="O18" s="397"/>
      <c r="P18" s="399"/>
      <c r="Q18" s="397"/>
      <c r="R18" s="397"/>
      <c r="S18" s="27"/>
    </row>
    <row r="19" spans="1:19" ht="12.75" customHeight="1" thickBot="1">
      <c r="A19" s="12"/>
      <c r="B19" s="356"/>
      <c r="C19" s="151"/>
      <c r="D19" s="357"/>
      <c r="E19" s="353"/>
      <c r="F19" s="158" t="s">
        <v>39</v>
      </c>
      <c r="G19" s="239"/>
      <c r="H19" s="397"/>
      <c r="I19" s="397"/>
      <c r="J19" s="399"/>
      <c r="K19" s="397"/>
      <c r="L19" s="397"/>
      <c r="M19" s="399"/>
      <c r="N19" s="397"/>
      <c r="O19" s="397"/>
      <c r="P19" s="399"/>
      <c r="Q19" s="397"/>
      <c r="R19" s="397"/>
      <c r="S19" s="27"/>
    </row>
    <row r="20" spans="1:20" ht="12.75" customHeight="1" thickBot="1">
      <c r="A20" s="12"/>
      <c r="B20" s="165" t="s">
        <v>41</v>
      </c>
      <c r="C20" s="166"/>
      <c r="D20" s="166"/>
      <c r="E20" s="167"/>
      <c r="F20" s="169"/>
      <c r="G20" s="362"/>
      <c r="H20" s="401" t="s">
        <v>42</v>
      </c>
      <c r="I20" s="401" t="s">
        <v>43</v>
      </c>
      <c r="J20" s="403"/>
      <c r="K20" s="401" t="s">
        <v>42</v>
      </c>
      <c r="L20" s="401" t="s">
        <v>43</v>
      </c>
      <c r="M20" s="403"/>
      <c r="N20" s="401" t="s">
        <v>42</v>
      </c>
      <c r="O20" s="401" t="s">
        <v>43</v>
      </c>
      <c r="P20" s="403"/>
      <c r="Q20" s="401" t="s">
        <v>42</v>
      </c>
      <c r="R20" s="401" t="s">
        <v>43</v>
      </c>
      <c r="S20" s="19"/>
      <c r="T20" s="238"/>
    </row>
    <row r="21" spans="1:20" ht="12.75" customHeight="1">
      <c r="A21" s="12"/>
      <c r="B21" s="33"/>
      <c r="C21" s="6"/>
      <c r="D21" s="45"/>
      <c r="E21" s="45"/>
      <c r="F21" s="152" t="s">
        <v>44</v>
      </c>
      <c r="G21" s="239"/>
      <c r="H21" s="261"/>
      <c r="I21" s="261"/>
      <c r="J21" s="399"/>
      <c r="K21" s="261"/>
      <c r="L21" s="261"/>
      <c r="M21" s="399"/>
      <c r="N21" s="261"/>
      <c r="O21" s="261"/>
      <c r="P21" s="399"/>
      <c r="Q21" s="261"/>
      <c r="R21" s="261"/>
      <c r="S21" s="27"/>
      <c r="T21" s="238"/>
    </row>
    <row r="22" spans="1:20" ht="12.75" customHeight="1">
      <c r="A22" s="12"/>
      <c r="B22" s="33"/>
      <c r="C22" s="6"/>
      <c r="D22" s="49"/>
      <c r="E22" s="49"/>
      <c r="F22" s="96" t="s">
        <v>45</v>
      </c>
      <c r="G22" s="239"/>
      <c r="H22" s="672"/>
      <c r="I22" s="672"/>
      <c r="J22" s="399"/>
      <c r="K22" s="672"/>
      <c r="L22" s="672"/>
      <c r="M22" s="399"/>
      <c r="N22" s="672"/>
      <c r="O22" s="672"/>
      <c r="P22" s="399"/>
      <c r="Q22" s="672"/>
      <c r="R22" s="672"/>
      <c r="S22" s="27"/>
      <c r="T22" s="238"/>
    </row>
    <row r="23" spans="1:20" ht="12.75" customHeight="1" thickBot="1">
      <c r="A23" s="12"/>
      <c r="B23" s="33"/>
      <c r="C23" s="26"/>
      <c r="D23" s="46"/>
      <c r="E23" s="46"/>
      <c r="F23" s="153" t="s">
        <v>46</v>
      </c>
      <c r="G23" s="239"/>
      <c r="H23" s="672"/>
      <c r="I23" s="672"/>
      <c r="J23" s="399"/>
      <c r="K23" s="672"/>
      <c r="L23" s="672"/>
      <c r="M23" s="399"/>
      <c r="N23" s="672"/>
      <c r="O23" s="672"/>
      <c r="P23" s="399"/>
      <c r="Q23" s="672"/>
      <c r="R23" s="672"/>
      <c r="S23" s="27"/>
      <c r="T23" s="238"/>
    </row>
    <row r="24" spans="1:43" s="55" customFormat="1" ht="12.75" customHeight="1" thickBot="1">
      <c r="A24" s="94"/>
      <c r="B24" s="363" t="s">
        <v>47</v>
      </c>
      <c r="C24" s="364"/>
      <c r="D24" s="364"/>
      <c r="E24" s="364"/>
      <c r="F24" s="365"/>
      <c r="G24" s="27"/>
      <c r="H24" s="401" t="s">
        <v>42</v>
      </c>
      <c r="I24" s="401" t="s">
        <v>43</v>
      </c>
      <c r="J24" s="403"/>
      <c r="K24" s="401" t="s">
        <v>42</v>
      </c>
      <c r="L24" s="401" t="s">
        <v>43</v>
      </c>
      <c r="M24" s="403"/>
      <c r="N24" s="401" t="s">
        <v>42</v>
      </c>
      <c r="O24" s="401" t="s">
        <v>43</v>
      </c>
      <c r="P24" s="403"/>
      <c r="Q24" s="401" t="s">
        <v>42</v>
      </c>
      <c r="R24" s="401" t="s">
        <v>43</v>
      </c>
      <c r="S24" s="19"/>
      <c r="T24" s="238"/>
      <c r="U24"/>
      <c r="V24"/>
      <c r="W24"/>
      <c r="X24"/>
      <c r="Y24"/>
      <c r="Z24"/>
      <c r="AA24"/>
      <c r="AB24"/>
      <c r="AC24"/>
      <c r="AD24"/>
      <c r="AE24"/>
      <c r="AF24"/>
      <c r="AG24"/>
      <c r="AH24"/>
      <c r="AI24"/>
      <c r="AJ24"/>
      <c r="AK24"/>
      <c r="AL24"/>
      <c r="AM24"/>
      <c r="AN24"/>
      <c r="AO24"/>
      <c r="AP24"/>
      <c r="AQ24"/>
    </row>
    <row r="25" spans="1:43" s="55" customFormat="1" ht="12.75" customHeight="1">
      <c r="A25" s="94"/>
      <c r="B25" s="56"/>
      <c r="C25" s="10"/>
      <c r="D25" s="10"/>
      <c r="E25" s="57"/>
      <c r="F25" s="154" t="s">
        <v>48</v>
      </c>
      <c r="G25" s="239"/>
      <c r="H25" s="261"/>
      <c r="I25" s="261"/>
      <c r="J25" s="399"/>
      <c r="K25" s="261"/>
      <c r="L25" s="261"/>
      <c r="M25" s="399"/>
      <c r="N25" s="261"/>
      <c r="O25" s="261"/>
      <c r="P25" s="399"/>
      <c r="Q25" s="261"/>
      <c r="R25" s="261"/>
      <c r="S25" s="27"/>
      <c r="T25"/>
      <c r="U25"/>
      <c r="V25"/>
      <c r="W25"/>
      <c r="X25"/>
      <c r="Y25"/>
      <c r="Z25"/>
      <c r="AA25"/>
      <c r="AB25"/>
      <c r="AC25"/>
      <c r="AD25"/>
      <c r="AE25"/>
      <c r="AF25"/>
      <c r="AG25"/>
      <c r="AH25"/>
      <c r="AI25"/>
      <c r="AJ25"/>
      <c r="AK25"/>
      <c r="AL25"/>
      <c r="AM25"/>
      <c r="AN25"/>
      <c r="AO25"/>
      <c r="AP25"/>
      <c r="AQ25"/>
    </row>
    <row r="26" spans="1:19" ht="12.75" customHeight="1">
      <c r="A26" s="12"/>
      <c r="B26" s="33"/>
      <c r="C26" s="6"/>
      <c r="D26" s="6"/>
      <c r="E26" s="45"/>
      <c r="F26" s="152" t="s">
        <v>49</v>
      </c>
      <c r="G26" s="239"/>
      <c r="H26" s="405"/>
      <c r="I26" s="405"/>
      <c r="J26" s="399"/>
      <c r="K26" s="405"/>
      <c r="L26" s="405"/>
      <c r="M26" s="399"/>
      <c r="N26" s="405"/>
      <c r="O26" s="405"/>
      <c r="P26" s="399"/>
      <c r="Q26" s="405"/>
      <c r="R26" s="405"/>
      <c r="S26" s="27"/>
    </row>
    <row r="27" spans="1:19" ht="12.75" customHeight="1">
      <c r="A27" s="12"/>
      <c r="B27" s="47"/>
      <c r="C27" s="10"/>
      <c r="D27" s="10"/>
      <c r="E27" s="48"/>
      <c r="F27" s="154" t="s">
        <v>50</v>
      </c>
      <c r="G27" s="239"/>
      <c r="H27" s="405"/>
      <c r="I27" s="405"/>
      <c r="J27" s="399"/>
      <c r="K27" s="405"/>
      <c r="L27" s="405"/>
      <c r="M27" s="399"/>
      <c r="N27" s="405"/>
      <c r="O27" s="405"/>
      <c r="P27" s="399"/>
      <c r="Q27" s="405"/>
      <c r="R27" s="405"/>
      <c r="S27" s="27"/>
    </row>
    <row r="28" spans="1:19" ht="12.75" customHeight="1">
      <c r="A28" s="12"/>
      <c r="B28" s="33"/>
      <c r="C28" s="6"/>
      <c r="D28" s="6"/>
      <c r="E28" s="45"/>
      <c r="F28" s="152" t="s">
        <v>51</v>
      </c>
      <c r="G28" s="239"/>
      <c r="H28" s="405"/>
      <c r="I28" s="405"/>
      <c r="J28" s="399"/>
      <c r="K28" s="405"/>
      <c r="L28" s="405"/>
      <c r="M28" s="399"/>
      <c r="N28" s="405"/>
      <c r="O28" s="405"/>
      <c r="P28" s="399"/>
      <c r="Q28" s="405"/>
      <c r="R28" s="405"/>
      <c r="S28" s="27"/>
    </row>
    <row r="29" spans="1:19" ht="12.75" customHeight="1">
      <c r="A29" s="12"/>
      <c r="B29" s="47"/>
      <c r="C29" s="10"/>
      <c r="D29" s="10"/>
      <c r="E29" s="48"/>
      <c r="F29" s="154" t="s">
        <v>52</v>
      </c>
      <c r="G29" s="239"/>
      <c r="H29" s="405"/>
      <c r="I29" s="405"/>
      <c r="J29" s="399"/>
      <c r="K29" s="405"/>
      <c r="L29" s="405"/>
      <c r="M29" s="399"/>
      <c r="N29" s="405"/>
      <c r="O29" s="405"/>
      <c r="P29" s="399"/>
      <c r="Q29" s="405"/>
      <c r="R29" s="405"/>
      <c r="S29" s="27"/>
    </row>
    <row r="30" spans="1:19" ht="12.75" customHeight="1">
      <c r="A30" s="12"/>
      <c r="B30" s="33"/>
      <c r="C30" s="6"/>
      <c r="D30" s="6"/>
      <c r="E30" s="45"/>
      <c r="F30" s="152" t="s">
        <v>53</v>
      </c>
      <c r="G30" s="239"/>
      <c r="H30" s="405"/>
      <c r="I30" s="405"/>
      <c r="J30" s="399"/>
      <c r="K30" s="405"/>
      <c r="L30" s="405"/>
      <c r="M30" s="399"/>
      <c r="N30" s="405"/>
      <c r="O30" s="405"/>
      <c r="P30" s="399"/>
      <c r="Q30" s="405"/>
      <c r="R30" s="405"/>
      <c r="S30" s="27"/>
    </row>
    <row r="31" spans="1:19" ht="12.75" customHeight="1">
      <c r="A31" s="12"/>
      <c r="B31" s="47"/>
      <c r="C31" s="10"/>
      <c r="D31" s="10"/>
      <c r="E31" s="48"/>
      <c r="F31" s="154" t="s">
        <v>54</v>
      </c>
      <c r="G31" s="239"/>
      <c r="H31" s="405"/>
      <c r="I31" s="405"/>
      <c r="J31" s="399"/>
      <c r="K31" s="405"/>
      <c r="L31" s="405"/>
      <c r="M31" s="399"/>
      <c r="N31" s="405"/>
      <c r="O31" s="405"/>
      <c r="P31" s="399"/>
      <c r="Q31" s="405"/>
      <c r="R31" s="405"/>
      <c r="S31" s="27"/>
    </row>
    <row r="32" spans="1:19" ht="12.75" customHeight="1">
      <c r="A32" s="12"/>
      <c r="B32" s="33"/>
      <c r="C32" s="6"/>
      <c r="D32" s="6"/>
      <c r="E32" s="45"/>
      <c r="F32" s="152" t="s">
        <v>55</v>
      </c>
      <c r="G32" s="239"/>
      <c r="H32" s="405"/>
      <c r="I32" s="405"/>
      <c r="J32" s="399"/>
      <c r="K32" s="405"/>
      <c r="L32" s="405"/>
      <c r="M32" s="399"/>
      <c r="N32" s="405"/>
      <c r="O32" s="405"/>
      <c r="P32" s="399"/>
      <c r="Q32" s="405"/>
      <c r="R32" s="405"/>
      <c r="S32" s="27"/>
    </row>
    <row r="33" spans="1:19" ht="12.75" customHeight="1" thickBot="1">
      <c r="A33" s="12"/>
      <c r="B33" s="33"/>
      <c r="C33" s="6"/>
      <c r="D33" s="6"/>
      <c r="E33" s="45"/>
      <c r="F33" s="152" t="s">
        <v>56</v>
      </c>
      <c r="G33" s="239"/>
      <c r="H33" s="405"/>
      <c r="I33" s="405"/>
      <c r="J33" s="399"/>
      <c r="K33" s="405"/>
      <c r="L33" s="405"/>
      <c r="M33" s="399"/>
      <c r="N33" s="405"/>
      <c r="O33" s="405"/>
      <c r="P33" s="399"/>
      <c r="Q33" s="405"/>
      <c r="R33" s="405"/>
      <c r="S33" s="27"/>
    </row>
    <row r="34" spans="1:19" ht="6" customHeight="1" thickBot="1">
      <c r="A34" s="12"/>
      <c r="B34" s="284"/>
      <c r="C34" s="284"/>
      <c r="D34" s="284"/>
      <c r="E34" s="285"/>
      <c r="F34" s="285"/>
      <c r="G34" s="6"/>
      <c r="H34" s="278"/>
      <c r="I34" s="279"/>
      <c r="J34" s="51"/>
      <c r="K34" s="278"/>
      <c r="L34" s="279"/>
      <c r="M34" s="51"/>
      <c r="N34" s="278"/>
      <c r="O34" s="279"/>
      <c r="P34" s="51"/>
      <c r="Q34" s="278"/>
      <c r="R34" s="279"/>
      <c r="S34" s="19"/>
    </row>
    <row r="35" spans="1:19" ht="13.5" customHeight="1" thickBot="1">
      <c r="A35" s="12"/>
      <c r="B35" s="165" t="s">
        <v>57</v>
      </c>
      <c r="C35" s="166"/>
      <c r="D35" s="166"/>
      <c r="E35" s="186"/>
      <c r="F35" s="187"/>
      <c r="G35" s="273"/>
      <c r="H35" s="349" t="s">
        <v>13</v>
      </c>
      <c r="I35" s="59" t="s">
        <v>14</v>
      </c>
      <c r="J35" s="270"/>
      <c r="K35" s="288" t="s">
        <v>13</v>
      </c>
      <c r="L35" s="59" t="s">
        <v>14</v>
      </c>
      <c r="M35" s="270"/>
      <c r="N35" s="288" t="s">
        <v>13</v>
      </c>
      <c r="O35" s="59" t="s">
        <v>14</v>
      </c>
      <c r="P35" s="270"/>
      <c r="Q35" s="288" t="s">
        <v>13</v>
      </c>
      <c r="R35" s="59" t="s">
        <v>14</v>
      </c>
      <c r="S35" s="27"/>
    </row>
    <row r="36" spans="1:19" ht="12.75" customHeight="1">
      <c r="A36" s="12"/>
      <c r="B36" s="160"/>
      <c r="C36" s="6"/>
      <c r="D36" s="6"/>
      <c r="E36" s="45"/>
      <c r="F36" s="152" t="s">
        <v>58</v>
      </c>
      <c r="G36" s="239"/>
      <c r="H36" s="347">
        <v>0</v>
      </c>
      <c r="I36" s="347">
        <v>0</v>
      </c>
      <c r="J36" s="348"/>
      <c r="K36" s="347">
        <v>0</v>
      </c>
      <c r="L36" s="347">
        <v>0</v>
      </c>
      <c r="M36" s="348"/>
      <c r="N36" s="347">
        <v>0</v>
      </c>
      <c r="O36" s="347">
        <v>0</v>
      </c>
      <c r="P36" s="348"/>
      <c r="Q36" s="347">
        <v>0</v>
      </c>
      <c r="R36" s="347">
        <v>0</v>
      </c>
      <c r="S36" s="27"/>
    </row>
    <row r="37" spans="1:19" ht="12.75" customHeight="1" thickBot="1">
      <c r="A37" s="12"/>
      <c r="B37" s="33"/>
      <c r="C37" s="6"/>
      <c r="D37" s="6"/>
      <c r="E37" s="45"/>
      <c r="F37" s="45" t="s">
        <v>59</v>
      </c>
      <c r="G37" s="239"/>
      <c r="H37" s="520">
        <f>(H18/(I18+0.00001)-H19/(I19+0.000001))*$E$9+(H18-H19)*$E$10</f>
        <v>0</v>
      </c>
      <c r="I37" s="520">
        <f>(H18/(I18+0.00001)-H19/(I19+0.000001))*$F$9+(H18-H19)*$F$10</f>
        <v>0</v>
      </c>
      <c r="J37" s="348"/>
      <c r="K37" s="520">
        <f>(K18/(L18+0.00001)-K19/(L19+0.000001))*$E$9+(K18-K19)*$E$10</f>
        <v>0</v>
      </c>
      <c r="L37" s="520">
        <f>(K18/(L18+0.00001)-K19/(L19+0.000001))*$F$9+(K18-K19)*$F$10</f>
        <v>0</v>
      </c>
      <c r="M37" s="348"/>
      <c r="N37" s="520">
        <f>(N18/(O18+0.00001)-N19/(O19+0.000001))*$E$9+(N18-N19)*$E$10</f>
        <v>0</v>
      </c>
      <c r="O37" s="520">
        <f>(N18/(O18+0.00001)-N19/(O19+0.000001))*$F$9+(N18-N19)*$F$10</f>
        <v>0</v>
      </c>
      <c r="P37" s="348"/>
      <c r="Q37" s="520">
        <f>(Q18/(R18+0.00001)-Q19/(R19+0.000001))*$E$9+(Q18-Q19)*$E$10</f>
        <v>0</v>
      </c>
      <c r="R37" s="520">
        <f>(Q18/(R18+0.00001)-Q19/(R19+0.000001))*$F$9+(Q18-Q19)*$F$10</f>
        <v>0</v>
      </c>
      <c r="S37" s="19"/>
    </row>
    <row r="38" spans="1:19" ht="15" customHeight="1">
      <c r="A38" s="12"/>
      <c r="B38" s="467"/>
      <c r="C38" s="23"/>
      <c r="D38" s="23"/>
      <c r="E38" s="23"/>
      <c r="F38" s="23"/>
      <c r="G38" s="63"/>
      <c r="H38" s="33"/>
      <c r="I38" s="64"/>
      <c r="J38" s="6"/>
      <c r="K38" s="33"/>
      <c r="L38" s="64"/>
      <c r="M38" s="6"/>
      <c r="N38" s="33"/>
      <c r="O38" s="64"/>
      <c r="P38" s="6"/>
      <c r="Q38" s="33"/>
      <c r="R38" s="64"/>
      <c r="S38" s="19"/>
    </row>
    <row r="39" spans="1:19" ht="24" customHeight="1" thickBot="1">
      <c r="A39" s="27"/>
      <c r="B39" s="17"/>
      <c r="C39" s="17"/>
      <c r="D39" s="17"/>
      <c r="E39" s="17"/>
      <c r="F39" s="17"/>
      <c r="G39" s="286"/>
      <c r="H39" s="17"/>
      <c r="I39" s="17"/>
      <c r="J39" s="287"/>
      <c r="K39" s="17"/>
      <c r="L39" s="17"/>
      <c r="M39" s="287"/>
      <c r="N39" s="17"/>
      <c r="O39" s="17"/>
      <c r="P39" s="287"/>
      <c r="Q39" s="17"/>
      <c r="R39" s="17"/>
      <c r="S39" s="27"/>
    </row>
    <row r="40" spans="1:19" ht="12.75" customHeight="1" thickBot="1">
      <c r="A40" s="12"/>
      <c r="B40" s="241" t="s">
        <v>60</v>
      </c>
      <c r="C40" s="289"/>
      <c r="D40" s="289"/>
      <c r="E40" s="1"/>
      <c r="F40" s="82" t="s">
        <v>61</v>
      </c>
      <c r="G40" s="240"/>
      <c r="H40" s="419">
        <v>0</v>
      </c>
      <c r="I40" s="419">
        <v>0</v>
      </c>
      <c r="J40" s="420"/>
      <c r="K40" s="419">
        <v>0</v>
      </c>
      <c r="L40" s="419">
        <v>0</v>
      </c>
      <c r="M40" s="420"/>
      <c r="N40" s="419">
        <v>0</v>
      </c>
      <c r="O40" s="419">
        <v>0</v>
      </c>
      <c r="P40" s="420"/>
      <c r="Q40" s="419">
        <v>0</v>
      </c>
      <c r="R40" s="419">
        <v>0</v>
      </c>
      <c r="S40" s="27"/>
    </row>
    <row r="41" spans="1:19" ht="12.75" customHeight="1" thickBot="1">
      <c r="A41" s="12"/>
      <c r="B41" s="320" t="s">
        <v>62</v>
      </c>
      <c r="C41" s="417"/>
      <c r="D41" s="418"/>
      <c r="E41" s="304">
        <f>IF($C$41="","",$C$41)</f>
      </c>
      <c r="F41" s="305">
        <f>IF($D$41="","",$D$41)</f>
      </c>
      <c r="G41" s="264"/>
      <c r="H41" s="304">
        <f>IF($C$41="","",$C$41)</f>
      </c>
      <c r="I41" s="305">
        <f>IF($D$41="","",$D$41)</f>
      </c>
      <c r="J41" s="268"/>
      <c r="K41" s="304">
        <f>IF($C$41="","",$C$41)</f>
      </c>
      <c r="L41" s="305">
        <f>IF($D$41="","",$D$41)</f>
      </c>
      <c r="M41" s="268"/>
      <c r="N41" s="304">
        <f>IF($C$41="","",$C$41)</f>
      </c>
      <c r="O41" s="305">
        <f>IF($D$41="","",$D$41)</f>
      </c>
      <c r="P41" s="268"/>
      <c r="Q41" s="304">
        <f>IF($C$41="","",$C$41)</f>
      </c>
      <c r="R41" s="305">
        <f>IF($D$41="","",$D$41)</f>
      </c>
      <c r="S41" s="27"/>
    </row>
    <row r="42" spans="1:19" ht="13.5" thickBot="1">
      <c r="A42" s="12"/>
      <c r="B42" s="65" t="s">
        <v>63</v>
      </c>
      <c r="C42" s="302" t="s">
        <v>64</v>
      </c>
      <c r="D42" s="303"/>
      <c r="E42" s="302" t="s">
        <v>65</v>
      </c>
      <c r="F42" s="303"/>
      <c r="G42" s="239"/>
      <c r="H42" s="302" t="s">
        <v>66</v>
      </c>
      <c r="I42" s="303"/>
      <c r="J42" s="239"/>
      <c r="K42" s="302" t="s">
        <v>66</v>
      </c>
      <c r="L42" s="303"/>
      <c r="M42" s="269"/>
      <c r="N42" s="302" t="s">
        <v>66</v>
      </c>
      <c r="O42" s="303"/>
      <c r="P42" s="269"/>
      <c r="Q42" s="302" t="s">
        <v>66</v>
      </c>
      <c r="R42" s="303"/>
      <c r="S42" s="27"/>
    </row>
    <row r="43" spans="1:19" ht="13.5" thickBot="1">
      <c r="A43" s="12"/>
      <c r="B43" s="66" t="s">
        <v>67</v>
      </c>
      <c r="C43" s="300" t="s">
        <v>68</v>
      </c>
      <c r="D43" s="301" t="s">
        <v>68</v>
      </c>
      <c r="E43" s="300" t="s">
        <v>68</v>
      </c>
      <c r="F43" s="301" t="s">
        <v>68</v>
      </c>
      <c r="G43" s="264"/>
      <c r="H43" s="300" t="s">
        <v>68</v>
      </c>
      <c r="I43" s="301" t="s">
        <v>68</v>
      </c>
      <c r="J43" s="239"/>
      <c r="K43" s="300" t="s">
        <v>68</v>
      </c>
      <c r="L43" s="301" t="s">
        <v>68</v>
      </c>
      <c r="M43" s="268"/>
      <c r="N43" s="300" t="s">
        <v>68</v>
      </c>
      <c r="O43" s="301" t="s">
        <v>68</v>
      </c>
      <c r="P43" s="270"/>
      <c r="Q43" s="300" t="s">
        <v>68</v>
      </c>
      <c r="R43" s="301" t="s">
        <v>68</v>
      </c>
      <c r="S43" s="27"/>
    </row>
    <row r="44" spans="1:19" ht="12.75" customHeight="1">
      <c r="A44" s="12"/>
      <c r="B44" s="421">
        <v>0</v>
      </c>
      <c r="C44" s="260"/>
      <c r="D44" s="261"/>
      <c r="E44" s="78">
        <f aca="true" t="shared" si="0" ref="E44:F67">+C44*(1+$F$5)^$F$6</f>
        <v>0</v>
      </c>
      <c r="F44" s="79">
        <f t="shared" si="0"/>
        <v>0</v>
      </c>
      <c r="G44" s="265"/>
      <c r="H44" s="261"/>
      <c r="I44" s="261"/>
      <c r="J44" s="423"/>
      <c r="K44" s="261"/>
      <c r="L44" s="261"/>
      <c r="M44" s="424"/>
      <c r="N44" s="261"/>
      <c r="O44" s="261"/>
      <c r="P44" s="399"/>
      <c r="Q44" s="261"/>
      <c r="R44" s="261"/>
      <c r="S44" s="27"/>
    </row>
    <row r="45" spans="1:19" ht="12.75" customHeight="1">
      <c r="A45" s="12"/>
      <c r="B45" s="421" t="s">
        <v>69</v>
      </c>
      <c r="C45" s="260"/>
      <c r="D45" s="261"/>
      <c r="E45" s="78">
        <f t="shared" si="0"/>
        <v>0</v>
      </c>
      <c r="F45" s="68">
        <f t="shared" si="0"/>
        <v>0</v>
      </c>
      <c r="G45" s="265"/>
      <c r="H45" s="261"/>
      <c r="I45" s="261"/>
      <c r="J45" s="423"/>
      <c r="K45" s="261"/>
      <c r="L45" s="261"/>
      <c r="M45" s="424"/>
      <c r="N45" s="261"/>
      <c r="O45" s="261"/>
      <c r="P45" s="399"/>
      <c r="Q45" s="261"/>
      <c r="R45" s="261"/>
      <c r="S45" s="27"/>
    </row>
    <row r="46" spans="1:19" ht="12.75" customHeight="1">
      <c r="A46" s="12"/>
      <c r="B46" s="421" t="s">
        <v>70</v>
      </c>
      <c r="C46" s="262"/>
      <c r="D46" s="263"/>
      <c r="E46" s="78">
        <f t="shared" si="0"/>
        <v>0</v>
      </c>
      <c r="F46" s="68">
        <f t="shared" si="0"/>
        <v>0</v>
      </c>
      <c r="G46" s="266"/>
      <c r="H46" s="261"/>
      <c r="I46" s="261"/>
      <c r="J46" s="423"/>
      <c r="K46" s="261"/>
      <c r="L46" s="261"/>
      <c r="M46" s="424"/>
      <c r="N46" s="261"/>
      <c r="O46" s="261"/>
      <c r="P46" s="399"/>
      <c r="Q46" s="261"/>
      <c r="R46" s="261"/>
      <c r="S46" s="27"/>
    </row>
    <row r="47" spans="1:19" ht="12.75" customHeight="1">
      <c r="A47" s="12"/>
      <c r="B47" s="421" t="s">
        <v>71</v>
      </c>
      <c r="C47" s="260"/>
      <c r="D47" s="261"/>
      <c r="E47" s="78">
        <f t="shared" si="0"/>
        <v>0</v>
      </c>
      <c r="F47" s="68">
        <f t="shared" si="0"/>
        <v>0</v>
      </c>
      <c r="G47" s="265"/>
      <c r="H47" s="261"/>
      <c r="I47" s="261"/>
      <c r="J47" s="423"/>
      <c r="K47" s="261"/>
      <c r="L47" s="261"/>
      <c r="M47" s="424"/>
      <c r="N47" s="261"/>
      <c r="O47" s="261"/>
      <c r="P47" s="399"/>
      <c r="Q47" s="261"/>
      <c r="R47" s="261"/>
      <c r="S47" s="27"/>
    </row>
    <row r="48" spans="1:19" ht="12.75" customHeight="1">
      <c r="A48" s="12"/>
      <c r="B48" s="421" t="s">
        <v>72</v>
      </c>
      <c r="C48" s="262"/>
      <c r="D48" s="263"/>
      <c r="E48" s="78">
        <f t="shared" si="0"/>
        <v>0</v>
      </c>
      <c r="F48" s="68">
        <f t="shared" si="0"/>
        <v>0</v>
      </c>
      <c r="G48" s="266"/>
      <c r="H48" s="261"/>
      <c r="I48" s="261"/>
      <c r="J48" s="423"/>
      <c r="K48" s="261"/>
      <c r="L48" s="261"/>
      <c r="M48" s="424"/>
      <c r="N48" s="261"/>
      <c r="O48" s="261"/>
      <c r="P48" s="399"/>
      <c r="Q48" s="261"/>
      <c r="R48" s="261"/>
      <c r="S48" s="27"/>
    </row>
    <row r="49" spans="1:19" ht="12.75" customHeight="1">
      <c r="A49" s="12"/>
      <c r="B49" s="421" t="s">
        <v>73</v>
      </c>
      <c r="C49" s="262"/>
      <c r="D49" s="263"/>
      <c r="E49" s="78">
        <f t="shared" si="0"/>
        <v>0</v>
      </c>
      <c r="F49" s="68">
        <f t="shared" si="0"/>
        <v>0</v>
      </c>
      <c r="G49" s="266"/>
      <c r="H49" s="261"/>
      <c r="I49" s="261"/>
      <c r="J49" s="423"/>
      <c r="K49" s="261"/>
      <c r="L49" s="261"/>
      <c r="M49" s="424"/>
      <c r="N49" s="261"/>
      <c r="O49" s="261"/>
      <c r="P49" s="399"/>
      <c r="Q49" s="261"/>
      <c r="R49" s="261"/>
      <c r="S49" s="27"/>
    </row>
    <row r="50" spans="1:19" ht="12.75">
      <c r="A50" s="12"/>
      <c r="B50" s="421" t="s">
        <v>74</v>
      </c>
      <c r="C50" s="262"/>
      <c r="D50" s="263"/>
      <c r="E50" s="78">
        <f t="shared" si="0"/>
        <v>0</v>
      </c>
      <c r="F50" s="68">
        <f t="shared" si="0"/>
        <v>0</v>
      </c>
      <c r="G50" s="266"/>
      <c r="H50" s="261"/>
      <c r="I50" s="261"/>
      <c r="J50" s="423"/>
      <c r="K50" s="261"/>
      <c r="L50" s="261"/>
      <c r="M50" s="424"/>
      <c r="N50" s="261"/>
      <c r="O50" s="261"/>
      <c r="P50" s="399"/>
      <c r="Q50" s="261"/>
      <c r="R50" s="261"/>
      <c r="S50" s="27"/>
    </row>
    <row r="51" spans="1:19" ht="12.75">
      <c r="A51" s="12"/>
      <c r="B51" s="421" t="s">
        <v>75</v>
      </c>
      <c r="C51" s="262"/>
      <c r="D51" s="263"/>
      <c r="E51" s="78">
        <f t="shared" si="0"/>
        <v>0</v>
      </c>
      <c r="F51" s="68">
        <f t="shared" si="0"/>
        <v>0</v>
      </c>
      <c r="G51" s="266"/>
      <c r="H51" s="261"/>
      <c r="I51" s="261"/>
      <c r="J51" s="423"/>
      <c r="K51" s="261"/>
      <c r="L51" s="261"/>
      <c r="M51" s="424"/>
      <c r="N51" s="261"/>
      <c r="O51" s="261"/>
      <c r="P51" s="399"/>
      <c r="Q51" s="261"/>
      <c r="R51" s="261"/>
      <c r="S51" s="27"/>
    </row>
    <row r="52" spans="1:19" ht="12.75">
      <c r="A52" s="12"/>
      <c r="B52" s="421" t="s">
        <v>76</v>
      </c>
      <c r="C52" s="262"/>
      <c r="D52" s="263"/>
      <c r="E52" s="78">
        <f t="shared" si="0"/>
        <v>0</v>
      </c>
      <c r="F52" s="68">
        <f t="shared" si="0"/>
        <v>0</v>
      </c>
      <c r="G52" s="266"/>
      <c r="H52" s="261"/>
      <c r="I52" s="261"/>
      <c r="J52" s="423"/>
      <c r="K52" s="261"/>
      <c r="L52" s="261"/>
      <c r="M52" s="424"/>
      <c r="N52" s="261"/>
      <c r="O52" s="261"/>
      <c r="P52" s="399"/>
      <c r="Q52" s="261"/>
      <c r="R52" s="261"/>
      <c r="S52" s="27"/>
    </row>
    <row r="53" spans="1:19" ht="12.75">
      <c r="A53" s="12"/>
      <c r="B53" s="421" t="s">
        <v>77</v>
      </c>
      <c r="C53" s="262"/>
      <c r="D53" s="263"/>
      <c r="E53" s="78">
        <f t="shared" si="0"/>
        <v>0</v>
      </c>
      <c r="F53" s="68">
        <f t="shared" si="0"/>
        <v>0</v>
      </c>
      <c r="G53" s="266"/>
      <c r="H53" s="261"/>
      <c r="I53" s="261"/>
      <c r="J53" s="423"/>
      <c r="K53" s="261"/>
      <c r="L53" s="261"/>
      <c r="M53" s="424"/>
      <c r="N53" s="261"/>
      <c r="O53" s="261"/>
      <c r="P53" s="399"/>
      <c r="Q53" s="261"/>
      <c r="R53" s="261"/>
      <c r="S53" s="27"/>
    </row>
    <row r="54" spans="1:19" ht="12.75">
      <c r="A54" s="12"/>
      <c r="B54" s="421" t="s">
        <v>78</v>
      </c>
      <c r="C54" s="262"/>
      <c r="D54" s="263"/>
      <c r="E54" s="78">
        <f t="shared" si="0"/>
        <v>0</v>
      </c>
      <c r="F54" s="68">
        <f t="shared" si="0"/>
        <v>0</v>
      </c>
      <c r="G54" s="266"/>
      <c r="H54" s="261"/>
      <c r="I54" s="261"/>
      <c r="J54" s="423"/>
      <c r="K54" s="261"/>
      <c r="L54" s="261"/>
      <c r="M54" s="424"/>
      <c r="N54" s="261"/>
      <c r="O54" s="261"/>
      <c r="P54" s="399"/>
      <c r="Q54" s="261"/>
      <c r="R54" s="261"/>
      <c r="S54" s="27"/>
    </row>
    <row r="55" spans="1:19" ht="12.75">
      <c r="A55" s="12"/>
      <c r="B55" s="421" t="s">
        <v>79</v>
      </c>
      <c r="C55" s="262"/>
      <c r="D55" s="263"/>
      <c r="E55" s="78">
        <f t="shared" si="0"/>
        <v>0</v>
      </c>
      <c r="F55" s="68">
        <f t="shared" si="0"/>
        <v>0</v>
      </c>
      <c r="G55" s="266"/>
      <c r="H55" s="261"/>
      <c r="I55" s="261"/>
      <c r="J55" s="423"/>
      <c r="K55" s="261"/>
      <c r="L55" s="261"/>
      <c r="M55" s="424"/>
      <c r="N55" s="261"/>
      <c r="O55" s="261"/>
      <c r="P55" s="399"/>
      <c r="Q55" s="261"/>
      <c r="R55" s="261"/>
      <c r="S55" s="27"/>
    </row>
    <row r="56" spans="1:19" ht="12.75">
      <c r="A56" s="12"/>
      <c r="B56" s="421" t="s">
        <v>80</v>
      </c>
      <c r="C56" s="262"/>
      <c r="D56" s="263"/>
      <c r="E56" s="78">
        <f t="shared" si="0"/>
        <v>0</v>
      </c>
      <c r="F56" s="68">
        <f t="shared" si="0"/>
        <v>0</v>
      </c>
      <c r="G56" s="266"/>
      <c r="H56" s="261"/>
      <c r="I56" s="261"/>
      <c r="J56" s="423"/>
      <c r="K56" s="261"/>
      <c r="L56" s="261"/>
      <c r="M56" s="424"/>
      <c r="N56" s="261"/>
      <c r="O56" s="261"/>
      <c r="P56" s="399"/>
      <c r="Q56" s="261"/>
      <c r="R56" s="261"/>
      <c r="S56" s="27"/>
    </row>
    <row r="57" spans="1:19" ht="12.75">
      <c r="A57" s="12"/>
      <c r="B57" s="421" t="s">
        <v>81</v>
      </c>
      <c r="C57" s="262"/>
      <c r="D57" s="263"/>
      <c r="E57" s="78">
        <f t="shared" si="0"/>
        <v>0</v>
      </c>
      <c r="F57" s="68">
        <f t="shared" si="0"/>
        <v>0</v>
      </c>
      <c r="G57" s="266"/>
      <c r="H57" s="261"/>
      <c r="I57" s="261"/>
      <c r="J57" s="423"/>
      <c r="K57" s="261"/>
      <c r="L57" s="261"/>
      <c r="M57" s="424"/>
      <c r="N57" s="261"/>
      <c r="O57" s="261"/>
      <c r="P57" s="399"/>
      <c r="Q57" s="261"/>
      <c r="R57" s="261"/>
      <c r="S57" s="27"/>
    </row>
    <row r="58" spans="1:19" ht="12.75">
      <c r="A58" s="12"/>
      <c r="B58" s="421" t="s">
        <v>82</v>
      </c>
      <c r="C58" s="262"/>
      <c r="D58" s="263"/>
      <c r="E58" s="78">
        <f t="shared" si="0"/>
        <v>0</v>
      </c>
      <c r="F58" s="68">
        <f t="shared" si="0"/>
        <v>0</v>
      </c>
      <c r="G58" s="266"/>
      <c r="H58" s="261"/>
      <c r="I58" s="261"/>
      <c r="J58" s="423"/>
      <c r="K58" s="261"/>
      <c r="L58" s="261"/>
      <c r="M58" s="424"/>
      <c r="N58" s="261"/>
      <c r="O58" s="261"/>
      <c r="P58" s="399"/>
      <c r="Q58" s="261"/>
      <c r="R58" s="261"/>
      <c r="S58" s="27"/>
    </row>
    <row r="59" spans="1:19" ht="12.75">
      <c r="A59" s="12"/>
      <c r="B59" s="421" t="s">
        <v>83</v>
      </c>
      <c r="C59" s="262"/>
      <c r="D59" s="263"/>
      <c r="E59" s="78">
        <f t="shared" si="0"/>
        <v>0</v>
      </c>
      <c r="F59" s="68">
        <f t="shared" si="0"/>
        <v>0</v>
      </c>
      <c r="G59" s="266"/>
      <c r="H59" s="261"/>
      <c r="I59" s="261"/>
      <c r="J59" s="423"/>
      <c r="K59" s="261"/>
      <c r="L59" s="261"/>
      <c r="M59" s="424"/>
      <c r="N59" s="261"/>
      <c r="O59" s="261"/>
      <c r="P59" s="399"/>
      <c r="Q59" s="261"/>
      <c r="R59" s="261"/>
      <c r="S59" s="27"/>
    </row>
    <row r="60" spans="1:19" ht="12.75">
      <c r="A60" s="12"/>
      <c r="B60" s="421" t="s">
        <v>84</v>
      </c>
      <c r="C60" s="262"/>
      <c r="D60" s="263"/>
      <c r="E60" s="78">
        <f t="shared" si="0"/>
        <v>0</v>
      </c>
      <c r="F60" s="68">
        <f t="shared" si="0"/>
        <v>0</v>
      </c>
      <c r="G60" s="266"/>
      <c r="H60" s="261"/>
      <c r="I60" s="261"/>
      <c r="J60" s="423"/>
      <c r="K60" s="261"/>
      <c r="L60" s="261"/>
      <c r="M60" s="424"/>
      <c r="N60" s="261"/>
      <c r="O60" s="261"/>
      <c r="P60" s="399"/>
      <c r="Q60" s="261"/>
      <c r="R60" s="261"/>
      <c r="S60" s="27"/>
    </row>
    <row r="61" spans="1:19" ht="12.75">
      <c r="A61" s="12"/>
      <c r="B61" s="421" t="s">
        <v>85</v>
      </c>
      <c r="C61" s="262"/>
      <c r="D61" s="263"/>
      <c r="E61" s="78">
        <f t="shared" si="0"/>
        <v>0</v>
      </c>
      <c r="F61" s="68">
        <f t="shared" si="0"/>
        <v>0</v>
      </c>
      <c r="G61" s="266"/>
      <c r="H61" s="261"/>
      <c r="I61" s="261"/>
      <c r="J61" s="423"/>
      <c r="K61" s="261"/>
      <c r="L61" s="261"/>
      <c r="M61" s="424"/>
      <c r="N61" s="261"/>
      <c r="O61" s="261"/>
      <c r="P61" s="399"/>
      <c r="Q61" s="261"/>
      <c r="R61" s="261"/>
      <c r="S61" s="27"/>
    </row>
    <row r="62" spans="1:19" ht="12.75">
      <c r="A62" s="12"/>
      <c r="B62" s="421" t="s">
        <v>86</v>
      </c>
      <c r="C62" s="262"/>
      <c r="D62" s="263"/>
      <c r="E62" s="78">
        <f t="shared" si="0"/>
        <v>0</v>
      </c>
      <c r="F62" s="68">
        <f t="shared" si="0"/>
        <v>0</v>
      </c>
      <c r="G62" s="266"/>
      <c r="H62" s="261"/>
      <c r="I62" s="261"/>
      <c r="J62" s="423"/>
      <c r="K62" s="261"/>
      <c r="L62" s="261"/>
      <c r="M62" s="424"/>
      <c r="N62" s="261"/>
      <c r="O62" s="261"/>
      <c r="P62" s="399"/>
      <c r="Q62" s="261"/>
      <c r="R62" s="261"/>
      <c r="S62" s="27"/>
    </row>
    <row r="63" spans="1:19" ht="12.75">
      <c r="A63" s="12"/>
      <c r="B63" s="421" t="s">
        <v>87</v>
      </c>
      <c r="C63" s="262"/>
      <c r="D63" s="263"/>
      <c r="E63" s="78">
        <f t="shared" si="0"/>
        <v>0</v>
      </c>
      <c r="F63" s="68">
        <f t="shared" si="0"/>
        <v>0</v>
      </c>
      <c r="G63" s="266"/>
      <c r="H63" s="261"/>
      <c r="I63" s="261"/>
      <c r="J63" s="423"/>
      <c r="K63" s="261"/>
      <c r="L63" s="261"/>
      <c r="M63" s="424"/>
      <c r="N63" s="261"/>
      <c r="O63" s="261"/>
      <c r="P63" s="399"/>
      <c r="Q63" s="261"/>
      <c r="R63" s="261"/>
      <c r="S63" s="27"/>
    </row>
    <row r="64" spans="1:19" ht="12.75">
      <c r="A64" s="12"/>
      <c r="B64" s="421" t="s">
        <v>88</v>
      </c>
      <c r="C64" s="262"/>
      <c r="D64" s="263"/>
      <c r="E64" s="78">
        <f t="shared" si="0"/>
        <v>0</v>
      </c>
      <c r="F64" s="68">
        <f t="shared" si="0"/>
        <v>0</v>
      </c>
      <c r="G64" s="266"/>
      <c r="H64" s="261"/>
      <c r="I64" s="261"/>
      <c r="J64" s="423"/>
      <c r="K64" s="261"/>
      <c r="L64" s="261"/>
      <c r="M64" s="424"/>
      <c r="N64" s="261"/>
      <c r="O64" s="261"/>
      <c r="P64" s="399"/>
      <c r="Q64" s="261"/>
      <c r="R64" s="261"/>
      <c r="S64" s="27"/>
    </row>
    <row r="65" spans="1:19" ht="12.75">
      <c r="A65" s="12"/>
      <c r="B65" s="421" t="s">
        <v>89</v>
      </c>
      <c r="C65" s="262"/>
      <c r="D65" s="263"/>
      <c r="E65" s="78">
        <f t="shared" si="0"/>
        <v>0</v>
      </c>
      <c r="F65" s="68">
        <f t="shared" si="0"/>
        <v>0</v>
      </c>
      <c r="G65" s="266"/>
      <c r="H65" s="261"/>
      <c r="I65" s="261"/>
      <c r="J65" s="423"/>
      <c r="K65" s="261"/>
      <c r="L65" s="261"/>
      <c r="M65" s="424"/>
      <c r="N65" s="261"/>
      <c r="O65" s="261"/>
      <c r="P65" s="399"/>
      <c r="Q65" s="261"/>
      <c r="R65" s="261"/>
      <c r="S65" s="27"/>
    </row>
    <row r="66" spans="1:19" ht="12.75">
      <c r="A66" s="12"/>
      <c r="B66" s="421" t="s">
        <v>90</v>
      </c>
      <c r="C66" s="262"/>
      <c r="D66" s="263"/>
      <c r="E66" s="78">
        <f t="shared" si="0"/>
        <v>0</v>
      </c>
      <c r="F66" s="68">
        <f t="shared" si="0"/>
        <v>0</v>
      </c>
      <c r="G66" s="266"/>
      <c r="H66" s="261"/>
      <c r="I66" s="261"/>
      <c r="J66" s="423"/>
      <c r="K66" s="261"/>
      <c r="L66" s="261"/>
      <c r="M66" s="424"/>
      <c r="N66" s="261"/>
      <c r="O66" s="261"/>
      <c r="P66" s="399"/>
      <c r="Q66" s="261"/>
      <c r="R66" s="261"/>
      <c r="S66" s="27"/>
    </row>
    <row r="67" spans="1:19" ht="13.5" thickBot="1">
      <c r="A67" s="12"/>
      <c r="B67" s="422" t="s">
        <v>91</v>
      </c>
      <c r="C67" s="262"/>
      <c r="D67" s="263"/>
      <c r="E67" s="78">
        <f t="shared" si="0"/>
        <v>0</v>
      </c>
      <c r="F67" s="69">
        <f t="shared" si="0"/>
        <v>0</v>
      </c>
      <c r="G67" s="266"/>
      <c r="H67" s="261"/>
      <c r="I67" s="261"/>
      <c r="J67" s="423"/>
      <c r="K67" s="261"/>
      <c r="L67" s="261"/>
      <c r="M67" s="424"/>
      <c r="N67" s="261"/>
      <c r="O67" s="261"/>
      <c r="P67" s="399"/>
      <c r="Q67" s="261"/>
      <c r="R67" s="261"/>
      <c r="S67" s="27"/>
    </row>
    <row r="68" spans="1:43" s="71" customFormat="1" ht="13.5" thickBot="1">
      <c r="A68" s="107"/>
      <c r="B68" s="52" t="s">
        <v>92</v>
      </c>
      <c r="C68" s="44">
        <f>SUM(C44:C67)</f>
        <v>0</v>
      </c>
      <c r="D68" s="53">
        <f>SUM(D44:D67)</f>
        <v>0</v>
      </c>
      <c r="E68" s="81">
        <f>SUM(E44:E67)</f>
        <v>0</v>
      </c>
      <c r="F68" s="80">
        <f>SUM(F44:F67)</f>
        <v>0</v>
      </c>
      <c r="G68" s="267"/>
      <c r="H68" s="62">
        <f>SUM(H44:H67)</f>
        <v>0</v>
      </c>
      <c r="I68" s="67">
        <f>SUM(I44:I67)</f>
        <v>0</v>
      </c>
      <c r="J68" s="426"/>
      <c r="K68" s="70">
        <f>SUM(K44:K67)</f>
        <v>0</v>
      </c>
      <c r="L68" s="58">
        <f>SUM(L44:L67)</f>
        <v>0</v>
      </c>
      <c r="M68" s="54"/>
      <c r="N68" s="70">
        <f>SUM(N44:N67)</f>
        <v>0</v>
      </c>
      <c r="O68" s="58">
        <f>SUM(O44:O67)</f>
        <v>0</v>
      </c>
      <c r="P68" s="51"/>
      <c r="Q68" s="70">
        <f>SUM(Q44:Q67)</f>
        <v>0</v>
      </c>
      <c r="R68" s="58">
        <f>SUM(R44:R67)</f>
        <v>0</v>
      </c>
      <c r="S68" s="182"/>
      <c r="T68"/>
      <c r="U68"/>
      <c r="V68"/>
      <c r="W68"/>
      <c r="X68"/>
      <c r="Y68"/>
      <c r="Z68"/>
      <c r="AA68"/>
      <c r="AB68"/>
      <c r="AC68"/>
      <c r="AD68"/>
      <c r="AE68"/>
      <c r="AF68"/>
      <c r="AG68"/>
      <c r="AH68"/>
      <c r="AI68"/>
      <c r="AJ68"/>
      <c r="AK68"/>
      <c r="AL68"/>
      <c r="AM68"/>
      <c r="AN68"/>
      <c r="AO68"/>
      <c r="AP68"/>
      <c r="AQ68"/>
    </row>
    <row r="69" spans="1:19" ht="12.75">
      <c r="A69" s="12"/>
      <c r="B69" s="633" t="s">
        <v>93</v>
      </c>
      <c r="C69" s="87"/>
      <c r="D69" s="87"/>
      <c r="E69" s="14"/>
      <c r="F69" s="482" t="s">
        <v>94</v>
      </c>
      <c r="G69" s="1"/>
      <c r="H69" s="634">
        <f>IF(H14="","",H14)</f>
      </c>
      <c r="I69" s="634"/>
      <c r="J69" s="426"/>
      <c r="K69" s="634">
        <f>IF(K14="","",K14)</f>
      </c>
      <c r="L69" s="634"/>
      <c r="M69" s="426"/>
      <c r="N69" s="634">
        <f>IF(N14="","",N14)</f>
      </c>
      <c r="O69" s="634"/>
      <c r="P69" s="426"/>
      <c r="Q69" s="634">
        <f>IF(Q14="","",Q14)</f>
      </c>
      <c r="R69" s="634"/>
      <c r="S69" s="426"/>
    </row>
    <row r="70" spans="1:19" ht="13.5" thickBot="1">
      <c r="A70" s="12"/>
      <c r="B70" s="635"/>
      <c r="C70" s="631"/>
      <c r="D70" s="631"/>
      <c r="E70" s="17"/>
      <c r="F70" s="481" t="s">
        <v>95</v>
      </c>
      <c r="G70" s="27"/>
      <c r="H70" s="425">
        <f>IF($C$41="","",$C$41)</f>
      </c>
      <c r="I70" s="425">
        <f>IF($D$41="","",$D$41)</f>
      </c>
      <c r="J70" s="426"/>
      <c r="K70" s="425">
        <f>IF($C$41="","",$C$41)</f>
      </c>
      <c r="L70" s="425">
        <f>IF($D$41="","",$D$41)</f>
      </c>
      <c r="M70" s="426"/>
      <c r="N70" s="425">
        <f>IF($C$41="","",$C$41)</f>
      </c>
      <c r="O70" s="425">
        <f>IF($D$41="","",$D$41)</f>
      </c>
      <c r="P70" s="426"/>
      <c r="Q70" s="425">
        <f>IF($C$41="","",$C$41)</f>
      </c>
      <c r="R70" s="425">
        <f>IF($D$41="","",$D$41)</f>
      </c>
      <c r="S70" s="426"/>
    </row>
    <row r="71" spans="1:19" ht="13.5" thickBot="1">
      <c r="A71" s="12"/>
      <c r="B71" s="479"/>
      <c r="C71" s="284"/>
      <c r="D71" s="372"/>
      <c r="E71" s="284"/>
      <c r="F71" s="480" t="s">
        <v>96</v>
      </c>
      <c r="G71" s="239"/>
      <c r="H71" s="854">
        <v>0</v>
      </c>
      <c r="I71" s="854">
        <v>0</v>
      </c>
      <c r="J71" s="426"/>
      <c r="K71" s="854">
        <v>0</v>
      </c>
      <c r="L71" s="854">
        <v>0</v>
      </c>
      <c r="M71" s="426"/>
      <c r="N71" s="854">
        <v>0</v>
      </c>
      <c r="O71" s="854">
        <v>0</v>
      </c>
      <c r="P71" s="426"/>
      <c r="Q71" s="854">
        <v>0</v>
      </c>
      <c r="R71" s="854">
        <v>0</v>
      </c>
      <c r="S71" s="27"/>
    </row>
    <row r="72" spans="1:19" ht="12.75">
      <c r="A72" s="12"/>
      <c r="B72" s="22"/>
      <c r="C72" s="23"/>
      <c r="D72" s="14"/>
      <c r="E72" s="23"/>
      <c r="F72" s="157" t="s">
        <v>97</v>
      </c>
      <c r="G72" s="239"/>
      <c r="H72" s="854">
        <v>0</v>
      </c>
      <c r="I72" s="854">
        <v>0</v>
      </c>
      <c r="J72" s="426"/>
      <c r="K72" s="854">
        <v>0</v>
      </c>
      <c r="L72" s="854">
        <v>0</v>
      </c>
      <c r="M72" s="426"/>
      <c r="N72" s="854">
        <v>0</v>
      </c>
      <c r="O72" s="854">
        <v>0</v>
      </c>
      <c r="P72" s="426"/>
      <c r="Q72" s="854">
        <v>0</v>
      </c>
      <c r="R72" s="854">
        <v>0</v>
      </c>
      <c r="S72" s="27"/>
    </row>
    <row r="73" spans="1:19" ht="13.5" thickBot="1">
      <c r="A73" s="12"/>
      <c r="B73" s="20"/>
      <c r="C73" s="26"/>
      <c r="D73" s="17"/>
      <c r="E73" s="26"/>
      <c r="F73" s="153" t="s">
        <v>98</v>
      </c>
      <c r="G73" s="239"/>
      <c r="H73" s="854">
        <v>0</v>
      </c>
      <c r="I73" s="854">
        <v>0</v>
      </c>
      <c r="J73" s="426"/>
      <c r="K73" s="854">
        <v>0</v>
      </c>
      <c r="L73" s="854">
        <v>0</v>
      </c>
      <c r="M73" s="426"/>
      <c r="N73" s="854">
        <v>0</v>
      </c>
      <c r="O73" s="854">
        <v>0</v>
      </c>
      <c r="P73" s="426"/>
      <c r="Q73" s="854">
        <v>0</v>
      </c>
      <c r="R73" s="854">
        <v>0</v>
      </c>
      <c r="S73" s="27"/>
    </row>
    <row r="74" spans="1:19" ht="12.75">
      <c r="A74" s="12"/>
      <c r="B74" s="22"/>
      <c r="C74" s="23"/>
      <c r="D74" s="14"/>
      <c r="E74" s="23"/>
      <c r="F74" s="157" t="s">
        <v>99</v>
      </c>
      <c r="G74" s="239"/>
      <c r="H74" s="855">
        <v>0</v>
      </c>
      <c r="I74" s="855">
        <v>0</v>
      </c>
      <c r="J74" s="506"/>
      <c r="K74" s="855">
        <v>0</v>
      </c>
      <c r="L74" s="855">
        <v>0</v>
      </c>
      <c r="M74" s="506"/>
      <c r="N74" s="855">
        <v>0</v>
      </c>
      <c r="O74" s="855">
        <v>0</v>
      </c>
      <c r="P74" s="506"/>
      <c r="Q74" s="855">
        <v>0</v>
      </c>
      <c r="R74" s="855">
        <v>0</v>
      </c>
      <c r="S74" s="27"/>
    </row>
    <row r="75" spans="1:19" ht="13.5" thickBot="1">
      <c r="A75" s="12"/>
      <c r="B75" s="20"/>
      <c r="C75" s="26"/>
      <c r="D75" s="17"/>
      <c r="E75" s="26"/>
      <c r="F75" s="153" t="s">
        <v>100</v>
      </c>
      <c r="G75" s="239"/>
      <c r="H75" s="856">
        <v>0</v>
      </c>
      <c r="I75" s="856">
        <v>0</v>
      </c>
      <c r="J75" s="507"/>
      <c r="K75" s="856">
        <v>0</v>
      </c>
      <c r="L75" s="856">
        <v>0</v>
      </c>
      <c r="M75" s="507"/>
      <c r="N75" s="856">
        <v>0</v>
      </c>
      <c r="O75" s="856">
        <v>0</v>
      </c>
      <c r="P75" s="507"/>
      <c r="Q75" s="856">
        <v>0</v>
      </c>
      <c r="R75" s="856">
        <v>0</v>
      </c>
      <c r="S75" s="27"/>
    </row>
    <row r="76" spans="1:19" ht="12.75">
      <c r="A76" s="12"/>
      <c r="B76" s="22"/>
      <c r="C76" s="23"/>
      <c r="D76" s="14"/>
      <c r="E76" s="14"/>
      <c r="F76" s="157" t="s">
        <v>101</v>
      </c>
      <c r="G76" s="239"/>
      <c r="H76" s="856">
        <v>0</v>
      </c>
      <c r="I76" s="856">
        <v>0</v>
      </c>
      <c r="J76" s="507"/>
      <c r="K76" s="856">
        <v>0</v>
      </c>
      <c r="L76" s="856">
        <v>0</v>
      </c>
      <c r="M76" s="507"/>
      <c r="N76" s="856">
        <v>0</v>
      </c>
      <c r="O76" s="856">
        <v>0</v>
      </c>
      <c r="P76" s="507"/>
      <c r="Q76" s="856">
        <v>0</v>
      </c>
      <c r="R76" s="856">
        <v>0</v>
      </c>
      <c r="S76" s="27"/>
    </row>
    <row r="77" spans="1:19" ht="12.75">
      <c r="A77" s="12"/>
      <c r="B77" s="12"/>
      <c r="C77" s="6"/>
      <c r="D77" s="1"/>
      <c r="E77" s="1"/>
      <c r="F77" s="484" t="s">
        <v>103</v>
      </c>
      <c r="G77" s="239"/>
      <c r="H77" s="855">
        <v>0</v>
      </c>
      <c r="I77" s="855">
        <v>0</v>
      </c>
      <c r="J77" s="506"/>
      <c r="K77" s="855">
        <v>0</v>
      </c>
      <c r="L77" s="855">
        <v>0</v>
      </c>
      <c r="M77" s="506"/>
      <c r="N77" s="855">
        <v>0</v>
      </c>
      <c r="O77" s="855">
        <v>0</v>
      </c>
      <c r="P77" s="506"/>
      <c r="Q77" s="855">
        <v>0</v>
      </c>
      <c r="R77" s="855">
        <v>0</v>
      </c>
      <c r="S77" s="27"/>
    </row>
    <row r="78" spans="1:19" ht="13.5" thickBot="1">
      <c r="A78" s="12"/>
      <c r="B78" s="20"/>
      <c r="C78" s="17"/>
      <c r="D78" s="17"/>
      <c r="E78" s="26"/>
      <c r="F78" s="152" t="s">
        <v>536</v>
      </c>
      <c r="G78" s="239"/>
      <c r="H78" s="856">
        <v>0</v>
      </c>
      <c r="I78" s="856">
        <v>0</v>
      </c>
      <c r="J78" s="507"/>
      <c r="K78" s="856">
        <v>0</v>
      </c>
      <c r="L78" s="856">
        <v>0</v>
      </c>
      <c r="M78" s="507"/>
      <c r="N78" s="856">
        <v>0</v>
      </c>
      <c r="O78" s="856">
        <v>0</v>
      </c>
      <c r="P78" s="507"/>
      <c r="Q78" s="856">
        <v>0</v>
      </c>
      <c r="R78" s="856">
        <v>0</v>
      </c>
      <c r="S78" s="27"/>
    </row>
    <row r="79" spans="1:19" ht="12.75">
      <c r="A79" s="12"/>
      <c r="B79" s="22"/>
      <c r="C79" s="23"/>
      <c r="D79" s="14"/>
      <c r="E79" s="23"/>
      <c r="F79" s="482" t="s">
        <v>104</v>
      </c>
      <c r="G79" s="239"/>
      <c r="H79" s="857">
        <v>0</v>
      </c>
      <c r="I79" s="857">
        <v>0</v>
      </c>
      <c r="J79" s="506"/>
      <c r="K79" s="857">
        <v>0</v>
      </c>
      <c r="L79" s="857">
        <v>0</v>
      </c>
      <c r="M79" s="506"/>
      <c r="N79" s="857">
        <v>0</v>
      </c>
      <c r="O79" s="857">
        <v>0</v>
      </c>
      <c r="P79" s="506"/>
      <c r="Q79" s="857">
        <v>0</v>
      </c>
      <c r="R79" s="857">
        <v>0</v>
      </c>
      <c r="S79" s="27"/>
    </row>
    <row r="80" spans="1:19" ht="12.75">
      <c r="A80" s="12"/>
      <c r="B80" s="12"/>
      <c r="C80" s="6"/>
      <c r="D80" s="1"/>
      <c r="E80" s="6"/>
      <c r="F80" s="484" t="s">
        <v>105</v>
      </c>
      <c r="G80" s="239"/>
      <c r="H80" s="857">
        <v>0</v>
      </c>
      <c r="I80" s="857">
        <v>0</v>
      </c>
      <c r="J80" s="506"/>
      <c r="K80" s="857">
        <v>0</v>
      </c>
      <c r="L80" s="857">
        <v>0</v>
      </c>
      <c r="M80" s="506"/>
      <c r="N80" s="857">
        <v>0</v>
      </c>
      <c r="O80" s="857">
        <v>0</v>
      </c>
      <c r="P80" s="506"/>
      <c r="Q80" s="857">
        <v>0</v>
      </c>
      <c r="R80" s="857">
        <v>0</v>
      </c>
      <c r="S80" s="27"/>
    </row>
    <row r="81" spans="1:19" ht="12.75">
      <c r="A81" s="12"/>
      <c r="B81" s="12"/>
      <c r="C81" s="6"/>
      <c r="D81" s="1"/>
      <c r="E81" s="6"/>
      <c r="F81" s="484" t="s">
        <v>106</v>
      </c>
      <c r="G81" s="239"/>
      <c r="H81" s="857">
        <v>0</v>
      </c>
      <c r="I81" s="857">
        <v>0</v>
      </c>
      <c r="J81" s="506"/>
      <c r="K81" s="857">
        <v>0</v>
      </c>
      <c r="L81" s="857">
        <v>0</v>
      </c>
      <c r="M81" s="506"/>
      <c r="N81" s="857">
        <v>0</v>
      </c>
      <c r="O81" s="857">
        <v>0</v>
      </c>
      <c r="P81" s="506"/>
      <c r="Q81" s="857">
        <v>0</v>
      </c>
      <c r="R81" s="857">
        <v>0</v>
      </c>
      <c r="S81" s="27"/>
    </row>
    <row r="82" spans="1:19" ht="13.5" thickBot="1">
      <c r="A82" s="12"/>
      <c r="B82" s="20"/>
      <c r="C82" s="26"/>
      <c r="D82" s="17"/>
      <c r="E82" s="26"/>
      <c r="F82" s="481" t="s">
        <v>107</v>
      </c>
      <c r="G82" s="239"/>
      <c r="H82" s="858">
        <v>0</v>
      </c>
      <c r="I82" s="858">
        <v>0</v>
      </c>
      <c r="J82" s="508"/>
      <c r="K82" s="858">
        <v>0</v>
      </c>
      <c r="L82" s="858">
        <v>0</v>
      </c>
      <c r="M82" s="508"/>
      <c r="N82" s="858">
        <v>0</v>
      </c>
      <c r="O82" s="858">
        <v>0</v>
      </c>
      <c r="P82" s="508"/>
      <c r="Q82" s="858">
        <v>0</v>
      </c>
      <c r="R82" s="858">
        <v>0</v>
      </c>
      <c r="S82" s="27"/>
    </row>
    <row r="83" spans="1:19" ht="12.75">
      <c r="A83" s="12"/>
      <c r="B83" s="22"/>
      <c r="C83" s="14"/>
      <c r="D83" s="14"/>
      <c r="E83" s="14"/>
      <c r="F83" s="157" t="s">
        <v>108</v>
      </c>
      <c r="G83" s="239"/>
      <c r="H83" s="859">
        <v>0</v>
      </c>
      <c r="I83" s="859">
        <v>0</v>
      </c>
      <c r="J83" s="509"/>
      <c r="K83" s="859">
        <v>0</v>
      </c>
      <c r="L83" s="859">
        <v>0</v>
      </c>
      <c r="M83" s="509"/>
      <c r="N83" s="859">
        <v>0</v>
      </c>
      <c r="O83" s="859">
        <v>0</v>
      </c>
      <c r="P83" s="509"/>
      <c r="Q83" s="859">
        <v>0</v>
      </c>
      <c r="R83" s="859">
        <v>0</v>
      </c>
      <c r="S83" s="27"/>
    </row>
    <row r="84" spans="1:19" ht="12.75">
      <c r="A84" s="12"/>
      <c r="B84" s="12"/>
      <c r="C84" s="6"/>
      <c r="D84" s="1"/>
      <c r="E84" s="1"/>
      <c r="F84" s="152" t="s">
        <v>109</v>
      </c>
      <c r="G84" s="239"/>
      <c r="H84" s="860">
        <v>0</v>
      </c>
      <c r="I84" s="860">
        <v>0</v>
      </c>
      <c r="J84" s="506"/>
      <c r="K84" s="860">
        <v>0</v>
      </c>
      <c r="L84" s="860">
        <v>0</v>
      </c>
      <c r="M84" s="506"/>
      <c r="N84" s="860">
        <v>0</v>
      </c>
      <c r="O84" s="860">
        <v>0</v>
      </c>
      <c r="P84" s="506"/>
      <c r="Q84" s="860">
        <v>0</v>
      </c>
      <c r="R84" s="860">
        <v>0</v>
      </c>
      <c r="S84" s="27"/>
    </row>
    <row r="85" spans="1:19" ht="12.75">
      <c r="A85" s="12"/>
      <c r="B85" s="12"/>
      <c r="C85" s="6"/>
      <c r="D85" s="1"/>
      <c r="E85" s="1"/>
      <c r="F85" s="484" t="s">
        <v>111</v>
      </c>
      <c r="G85" s="239"/>
      <c r="H85" s="1181">
        <v>0</v>
      </c>
      <c r="I85" s="1181">
        <v>0</v>
      </c>
      <c r="J85" s="426"/>
      <c r="K85" s="1181">
        <v>0</v>
      </c>
      <c r="L85" s="1181">
        <v>0</v>
      </c>
      <c r="M85" s="426"/>
      <c r="N85" s="1181">
        <v>0</v>
      </c>
      <c r="O85" s="1181">
        <v>0</v>
      </c>
      <c r="P85" s="426"/>
      <c r="Q85" s="1181">
        <v>0</v>
      </c>
      <c r="R85" s="1181">
        <v>0</v>
      </c>
      <c r="S85" s="27"/>
    </row>
    <row r="86" spans="1:19" ht="13.5" thickBot="1">
      <c r="A86" s="12"/>
      <c r="B86" s="20"/>
      <c r="C86" s="17"/>
      <c r="D86" s="17"/>
      <c r="E86" s="26"/>
      <c r="F86" s="481" t="s">
        <v>110</v>
      </c>
      <c r="G86" s="239"/>
      <c r="H86" s="856">
        <v>0</v>
      </c>
      <c r="I86" s="856">
        <v>0</v>
      </c>
      <c r="J86" s="507"/>
      <c r="K86" s="856">
        <v>0</v>
      </c>
      <c r="L86" s="856">
        <v>0</v>
      </c>
      <c r="M86" s="507"/>
      <c r="N86" s="856">
        <v>0</v>
      </c>
      <c r="O86" s="856">
        <v>0</v>
      </c>
      <c r="P86" s="507"/>
      <c r="Q86" s="856">
        <v>0</v>
      </c>
      <c r="R86" s="856">
        <v>0</v>
      </c>
      <c r="S86" s="27"/>
    </row>
    <row r="87" spans="1:19" ht="12.75">
      <c r="A87" s="12"/>
      <c r="B87" s="12"/>
      <c r="C87" s="1"/>
      <c r="D87" s="1"/>
      <c r="E87" s="6"/>
      <c r="F87" s="82" t="s">
        <v>112</v>
      </c>
      <c r="G87" s="239"/>
      <c r="H87" s="861">
        <v>0</v>
      </c>
      <c r="I87" s="861">
        <v>0</v>
      </c>
      <c r="J87" s="427"/>
      <c r="K87" s="861">
        <v>0</v>
      </c>
      <c r="L87" s="861">
        <v>0</v>
      </c>
      <c r="M87" s="427"/>
      <c r="N87" s="861">
        <v>0</v>
      </c>
      <c r="O87" s="861">
        <v>0</v>
      </c>
      <c r="P87" s="427"/>
      <c r="Q87" s="861">
        <v>0</v>
      </c>
      <c r="R87" s="861">
        <v>0</v>
      </c>
      <c r="S87" s="27"/>
    </row>
    <row r="88" spans="1:19" ht="13.5" customHeight="1" thickBot="1">
      <c r="A88" s="12"/>
      <c r="B88" s="20"/>
      <c r="C88" s="17"/>
      <c r="D88" s="17"/>
      <c r="E88" s="26"/>
      <c r="F88" s="90" t="s">
        <v>113</v>
      </c>
      <c r="G88" s="239"/>
      <c r="H88" s="861">
        <v>0</v>
      </c>
      <c r="I88" s="861">
        <v>0</v>
      </c>
      <c r="J88" s="427"/>
      <c r="K88" s="861">
        <v>0</v>
      </c>
      <c r="L88" s="861">
        <v>0</v>
      </c>
      <c r="M88" s="427"/>
      <c r="N88" s="861">
        <v>0</v>
      </c>
      <c r="O88" s="861">
        <v>0</v>
      </c>
      <c r="P88" s="427"/>
      <c r="Q88" s="861">
        <v>0</v>
      </c>
      <c r="R88" s="861">
        <v>0</v>
      </c>
      <c r="S88" s="27"/>
    </row>
    <row r="89" spans="1:19" s="255" customFormat="1" ht="13.5" customHeight="1" thickBot="1">
      <c r="A89" s="251"/>
      <c r="B89" s="280" t="s">
        <v>114</v>
      </c>
      <c r="C89" s="252"/>
      <c r="D89" s="252"/>
      <c r="E89" s="252"/>
      <c r="F89" s="253" t="s">
        <v>115</v>
      </c>
      <c r="G89" s="361"/>
      <c r="H89" s="428" t="str">
        <f>H541</f>
        <v>VALID</v>
      </c>
      <c r="I89" s="429" t="str">
        <f>I541</f>
        <v>VALID</v>
      </c>
      <c r="J89" s="430"/>
      <c r="K89" s="428" t="str">
        <f>K541</f>
        <v>VALID</v>
      </c>
      <c r="L89" s="429" t="str">
        <f>L541</f>
        <v>VALID</v>
      </c>
      <c r="M89" s="431"/>
      <c r="N89" s="428" t="str">
        <f>N541</f>
        <v>VALID</v>
      </c>
      <c r="O89" s="429" t="str">
        <f>O541</f>
        <v>VALID</v>
      </c>
      <c r="P89" s="430"/>
      <c r="Q89" s="428" t="str">
        <f>Q541</f>
        <v>VALID</v>
      </c>
      <c r="R89" s="429" t="str">
        <f>R541</f>
        <v>VALID</v>
      </c>
      <c r="S89" s="254"/>
    </row>
    <row r="90" spans="1:19" ht="4.5" customHeight="1" thickBot="1">
      <c r="A90" s="20"/>
      <c r="B90" s="26"/>
      <c r="C90" s="26"/>
      <c r="D90" s="26"/>
      <c r="E90" s="26"/>
      <c r="F90" s="46"/>
      <c r="G90" s="26"/>
      <c r="H90" s="183"/>
      <c r="I90" s="183"/>
      <c r="J90" s="183"/>
      <c r="K90" s="184"/>
      <c r="L90" s="184"/>
      <c r="M90" s="183"/>
      <c r="N90" s="184"/>
      <c r="O90" s="184"/>
      <c r="P90" s="183"/>
      <c r="Q90" s="183"/>
      <c r="R90" s="183"/>
      <c r="S90" s="18"/>
    </row>
    <row r="91" spans="1:19" ht="12.75">
      <c r="A91" s="1"/>
      <c r="F91" s="45"/>
      <c r="G91" s="6"/>
      <c r="H91" s="72"/>
      <c r="I91" s="72"/>
      <c r="J91" s="72"/>
      <c r="K91" s="150"/>
      <c r="L91" s="150"/>
      <c r="M91" s="72"/>
      <c r="N91" s="150"/>
      <c r="O91" s="150"/>
      <c r="P91" s="72"/>
      <c r="Q91" s="72"/>
      <c r="R91" s="72"/>
      <c r="S91" s="1"/>
    </row>
    <row r="92" spans="1:19" ht="24" customHeight="1">
      <c r="A92" s="1"/>
      <c r="F92" s="45"/>
      <c r="G92" s="6"/>
      <c r="H92" s="72"/>
      <c r="I92" s="72"/>
      <c r="J92" s="72"/>
      <c r="K92" s="150"/>
      <c r="L92" s="150"/>
      <c r="M92" s="72"/>
      <c r="N92" s="150"/>
      <c r="O92" s="150"/>
      <c r="P92" s="72"/>
      <c r="Q92" s="72"/>
      <c r="R92" s="72"/>
      <c r="S92" s="1"/>
    </row>
    <row r="93" spans="2:7" ht="15.75" thickBot="1">
      <c r="B93" s="83" t="s">
        <v>116</v>
      </c>
      <c r="G93"/>
    </row>
    <row r="94" spans="1:22" ht="3.75" customHeight="1" thickBot="1">
      <c r="A94" s="22"/>
      <c r="B94" s="14"/>
      <c r="C94" s="14"/>
      <c r="D94" s="14"/>
      <c r="E94" s="14"/>
      <c r="F94" s="14"/>
      <c r="G94" s="84"/>
      <c r="H94" s="14"/>
      <c r="I94" s="14"/>
      <c r="J94" s="14"/>
      <c r="K94" s="14"/>
      <c r="L94" s="14"/>
      <c r="M94" s="14"/>
      <c r="N94" s="14"/>
      <c r="O94" s="14"/>
      <c r="P94" s="14"/>
      <c r="Q94" s="14"/>
      <c r="R94" s="14"/>
      <c r="S94" s="14"/>
      <c r="T94" s="14"/>
      <c r="U94" s="14"/>
      <c r="V94" s="21"/>
    </row>
    <row r="95" spans="1:22" ht="13.5" thickBot="1">
      <c r="A95" s="12"/>
      <c r="B95" s="31"/>
      <c r="C95" s="23"/>
      <c r="D95" s="23"/>
      <c r="E95" s="376" t="s">
        <v>2</v>
      </c>
      <c r="F95" s="377">
        <v>60</v>
      </c>
      <c r="G95" s="27"/>
      <c r="H95" s="86" t="s">
        <v>3</v>
      </c>
      <c r="I95" s="87"/>
      <c r="J95" s="24"/>
      <c r="K95" s="24"/>
      <c r="L95" s="28"/>
      <c r="M95" s="1"/>
      <c r="N95" s="86" t="s">
        <v>4</v>
      </c>
      <c r="O95" s="87"/>
      <c r="P95" s="24"/>
      <c r="Q95" s="24"/>
      <c r="R95" s="24"/>
      <c r="S95" s="24"/>
      <c r="T95" s="24"/>
      <c r="U95" s="28"/>
      <c r="V95" s="19"/>
    </row>
    <row r="96" spans="1:22" ht="12.75">
      <c r="A96" s="12"/>
      <c r="B96" s="33"/>
      <c r="C96" s="6"/>
      <c r="D96" s="6"/>
      <c r="E96" s="378" t="s">
        <v>5</v>
      </c>
      <c r="F96" s="379"/>
      <c r="G96" s="27"/>
      <c r="H96" s="88" t="s">
        <v>6</v>
      </c>
      <c r="I96" s="406">
        <f>IF(I5="","",I5)</f>
      </c>
      <c r="J96" s="434"/>
      <c r="K96" s="434"/>
      <c r="L96" s="435"/>
      <c r="M96" s="1"/>
      <c r="N96" s="88" t="s">
        <v>7</v>
      </c>
      <c r="O96" s="439" t="str">
        <f>IF(O5="","",O5)</f>
        <v>DETAILED USER COST REPORT</v>
      </c>
      <c r="P96" s="440"/>
      <c r="Q96" s="440"/>
      <c r="R96" s="440"/>
      <c r="S96" s="440"/>
      <c r="T96" s="440"/>
      <c r="U96" s="435"/>
      <c r="V96" s="19"/>
    </row>
    <row r="97" spans="1:22" ht="13.5" thickBot="1">
      <c r="A97" s="12"/>
      <c r="B97" s="35"/>
      <c r="C97" s="26"/>
      <c r="D97" s="26"/>
      <c r="E97" s="380" t="s">
        <v>9</v>
      </c>
      <c r="F97" s="381"/>
      <c r="G97" s="27"/>
      <c r="H97" s="89" t="s">
        <v>10</v>
      </c>
      <c r="I97" s="436">
        <f>IF(I6="","",I6)</f>
      </c>
      <c r="J97" s="437"/>
      <c r="K97" s="437"/>
      <c r="L97" s="438"/>
      <c r="M97" s="1"/>
      <c r="N97" s="89" t="s">
        <v>10</v>
      </c>
      <c r="O97" s="296" t="s">
        <v>472</v>
      </c>
      <c r="P97" s="30"/>
      <c r="Q97" s="15"/>
      <c r="R97" s="15"/>
      <c r="S97" s="15"/>
      <c r="T97" s="15"/>
      <c r="U97" s="934"/>
      <c r="V97" s="19"/>
    </row>
    <row r="98" spans="1:22" ht="13.5" thickBot="1">
      <c r="A98" s="12"/>
      <c r="B98" s="165" t="s">
        <v>12</v>
      </c>
      <c r="C98" s="166"/>
      <c r="D98" s="166"/>
      <c r="E98" s="382" t="s">
        <v>13</v>
      </c>
      <c r="F98" s="383" t="s">
        <v>14</v>
      </c>
      <c r="G98" s="27"/>
      <c r="H98" s="22"/>
      <c r="I98" s="85" t="s">
        <v>15</v>
      </c>
      <c r="J98" s="123">
        <v>33081</v>
      </c>
      <c r="K98" s="175">
        <f>IF(K7="","",K7)</f>
      </c>
      <c r="L98" s="176"/>
      <c r="M98" s="1"/>
      <c r="N98" s="22"/>
      <c r="O98" s="189" t="s">
        <v>16</v>
      </c>
      <c r="P98" s="15"/>
      <c r="Q98" s="410">
        <f>IF(Q7="","",Q7)</f>
      </c>
      <c r="R98" s="935"/>
      <c r="S98" s="441"/>
      <c r="T98" s="441"/>
      <c r="U98" s="411"/>
      <c r="V98" s="19"/>
    </row>
    <row r="99" spans="1:22" ht="12.75">
      <c r="A99" s="12"/>
      <c r="B99" s="47"/>
      <c r="C99" s="10"/>
      <c r="D99" s="313" t="s">
        <v>17</v>
      </c>
      <c r="E99" s="384">
        <v>1</v>
      </c>
      <c r="F99" s="385"/>
      <c r="G99" s="27"/>
      <c r="H99" s="12"/>
      <c r="I99" s="82" t="s">
        <v>18</v>
      </c>
      <c r="J99" s="123"/>
      <c r="K99" s="177">
        <f>IF(K8="","",K8)</f>
      </c>
      <c r="L99" s="178"/>
      <c r="M99" s="1"/>
      <c r="N99" s="12"/>
      <c r="O99" s="189" t="s">
        <v>19</v>
      </c>
      <c r="P99" s="15"/>
      <c r="Q99" s="412">
        <f>IF(Q8="","",Q8)</f>
      </c>
      <c r="R99" s="936"/>
      <c r="S99" s="442"/>
      <c r="T99" s="442"/>
      <c r="U99" s="413"/>
      <c r="V99" s="19"/>
    </row>
    <row r="100" spans="1:22" ht="13.5" thickBot="1">
      <c r="A100" s="12"/>
      <c r="B100" s="33"/>
      <c r="C100" s="6"/>
      <c r="D100" s="152" t="s">
        <v>20</v>
      </c>
      <c r="E100" s="432">
        <v>10.79</v>
      </c>
      <c r="F100" s="386">
        <v>10.79</v>
      </c>
      <c r="G100" s="27"/>
      <c r="H100" s="20"/>
      <c r="I100" s="90" t="s">
        <v>21</v>
      </c>
      <c r="J100" s="124">
        <v>35550</v>
      </c>
      <c r="K100" s="179">
        <f>IF(K9="","",K9)</f>
      </c>
      <c r="L100" s="180"/>
      <c r="M100" s="1"/>
      <c r="N100" s="20"/>
      <c r="O100" s="190" t="s">
        <v>22</v>
      </c>
      <c r="P100" s="30"/>
      <c r="Q100" s="416">
        <f>IF(Q9="","",Q9)</f>
      </c>
      <c r="R100" s="937"/>
      <c r="S100" s="437"/>
      <c r="T100" s="437"/>
      <c r="U100" s="415"/>
      <c r="V100" s="19"/>
    </row>
    <row r="101" spans="1:22" ht="12.75">
      <c r="A101" s="12"/>
      <c r="B101" s="47"/>
      <c r="C101" s="10"/>
      <c r="D101" s="154" t="s">
        <v>23</v>
      </c>
      <c r="E101" s="433">
        <v>0.3</v>
      </c>
      <c r="F101" s="387">
        <v>1</v>
      </c>
      <c r="G101" s="27"/>
      <c r="H101" s="290" t="s">
        <v>24</v>
      </c>
      <c r="I101" s="119"/>
      <c r="J101" s="119"/>
      <c r="K101" s="119"/>
      <c r="L101" s="119"/>
      <c r="M101" s="119"/>
      <c r="N101" s="119"/>
      <c r="O101" s="119"/>
      <c r="P101" s="119"/>
      <c r="Q101" s="119"/>
      <c r="U101" s="195"/>
      <c r="V101" s="19"/>
    </row>
    <row r="102" spans="1:22" ht="13.5" thickBot="1">
      <c r="A102" s="12"/>
      <c r="B102" s="33"/>
      <c r="C102" s="6"/>
      <c r="D102" s="152" t="s">
        <v>25</v>
      </c>
      <c r="E102" s="433"/>
      <c r="F102" s="387"/>
      <c r="G102" s="27"/>
      <c r="H102" s="156"/>
      <c r="I102" s="3"/>
      <c r="J102" s="3"/>
      <c r="K102" s="3"/>
      <c r="L102" s="3"/>
      <c r="M102" s="13"/>
      <c r="N102" s="13"/>
      <c r="O102" s="13"/>
      <c r="P102" s="13"/>
      <c r="Q102" s="13"/>
      <c r="R102" s="13"/>
      <c r="S102" s="13"/>
      <c r="T102" s="13"/>
      <c r="U102" s="155"/>
      <c r="V102" s="19"/>
    </row>
    <row r="103" spans="1:22" ht="3" customHeight="1" thickBot="1">
      <c r="A103" s="12"/>
      <c r="B103" s="284"/>
      <c r="C103" s="284"/>
      <c r="D103" s="284"/>
      <c r="E103" s="284"/>
      <c r="F103" s="284"/>
      <c r="G103" s="1"/>
      <c r="H103" s="87"/>
      <c r="I103" s="87"/>
      <c r="J103" s="87"/>
      <c r="K103" s="87"/>
      <c r="L103" s="87"/>
      <c r="M103" s="87"/>
      <c r="N103" s="87"/>
      <c r="O103" s="87"/>
      <c r="P103" s="87"/>
      <c r="Q103" s="87"/>
      <c r="R103" s="87"/>
      <c r="S103" s="87"/>
      <c r="T103" s="87"/>
      <c r="U103" s="292"/>
      <c r="V103" s="19"/>
    </row>
    <row r="104" spans="1:22" ht="16.5" thickBot="1">
      <c r="A104" s="12"/>
      <c r="B104" s="165" t="s">
        <v>26</v>
      </c>
      <c r="C104" s="168"/>
      <c r="D104" s="166"/>
      <c r="E104" s="166"/>
      <c r="F104" s="169"/>
      <c r="G104" s="271"/>
      <c r="H104" s="388" t="s">
        <v>27</v>
      </c>
      <c r="I104" s="389"/>
      <c r="J104" s="27"/>
      <c r="K104" s="519" t="s">
        <v>93</v>
      </c>
      <c r="L104" s="24"/>
      <c r="M104" s="24"/>
      <c r="N104" s="92"/>
      <c r="O104" s="24"/>
      <c r="P104" s="24"/>
      <c r="Q104" s="24"/>
      <c r="R104" s="244"/>
      <c r="S104" s="24"/>
      <c r="T104" s="28"/>
      <c r="U104" s="28"/>
      <c r="V104" s="19"/>
    </row>
    <row r="105" spans="1:22" ht="16.5" thickBot="1">
      <c r="A105" s="12"/>
      <c r="B105" s="74"/>
      <c r="C105" s="75"/>
      <c r="D105" s="76"/>
      <c r="E105" s="76"/>
      <c r="F105" s="283" t="s">
        <v>31</v>
      </c>
      <c r="G105" s="272"/>
      <c r="H105" s="391"/>
      <c r="I105" s="392"/>
      <c r="J105" s="27"/>
      <c r="K105" s="22"/>
      <c r="L105" s="14"/>
      <c r="M105" s="14"/>
      <c r="N105" s="119"/>
      <c r="O105" s="87"/>
      <c r="P105" s="87"/>
      <c r="Q105" s="14"/>
      <c r="R105" s="85" t="s">
        <v>94</v>
      </c>
      <c r="S105" s="21"/>
      <c r="T105" s="636">
        <f>IF(H105="","",H105)</f>
      </c>
      <c r="U105" s="629"/>
      <c r="V105" s="19"/>
    </row>
    <row r="106" spans="1:22" ht="16.5" thickBot="1">
      <c r="A106" s="12"/>
      <c r="B106" s="363" t="s">
        <v>32</v>
      </c>
      <c r="C106" s="364"/>
      <c r="D106" s="364"/>
      <c r="E106" s="364"/>
      <c r="F106" s="366" t="s">
        <v>33</v>
      </c>
      <c r="G106" s="27"/>
      <c r="H106" s="395" t="s">
        <v>34</v>
      </c>
      <c r="I106" s="395" t="s">
        <v>35</v>
      </c>
      <c r="J106" s="27"/>
      <c r="K106" s="20"/>
      <c r="L106" s="17"/>
      <c r="M106" s="17"/>
      <c r="N106" s="630"/>
      <c r="O106" s="631"/>
      <c r="P106" s="631"/>
      <c r="Q106" s="17"/>
      <c r="R106" s="90" t="s">
        <v>95</v>
      </c>
      <c r="S106" s="18"/>
      <c r="T106" s="637">
        <f>IF(C130="","",C130)</f>
      </c>
      <c r="U106" s="632"/>
      <c r="V106" s="19"/>
    </row>
    <row r="107" spans="1:22" ht="13.5" thickBot="1">
      <c r="A107" s="12"/>
      <c r="B107" s="350"/>
      <c r="C107" s="351"/>
      <c r="D107" s="352" t="s">
        <v>36</v>
      </c>
      <c r="E107" s="353"/>
      <c r="F107" s="158" t="s">
        <v>37</v>
      </c>
      <c r="G107" s="239"/>
      <c r="H107" s="397"/>
      <c r="I107" s="398" t="s">
        <v>38</v>
      </c>
      <c r="J107" s="293"/>
      <c r="K107" s="479"/>
      <c r="L107" s="372"/>
      <c r="M107" s="372"/>
      <c r="N107" s="372"/>
      <c r="O107" s="284"/>
      <c r="P107" s="372"/>
      <c r="Q107" s="284"/>
      <c r="R107" s="285" t="s">
        <v>96</v>
      </c>
      <c r="S107" s="486"/>
      <c r="T107" s="490">
        <v>0</v>
      </c>
      <c r="U107" s="490"/>
      <c r="V107" s="19"/>
    </row>
    <row r="108" spans="1:22" ht="13.5" thickBot="1">
      <c r="A108" s="12"/>
      <c r="B108" s="354"/>
      <c r="C108" s="60"/>
      <c r="D108" s="355"/>
      <c r="E108" s="61"/>
      <c r="F108" s="159" t="s">
        <v>39</v>
      </c>
      <c r="G108" s="239"/>
      <c r="H108" s="400"/>
      <c r="I108" s="784"/>
      <c r="J108" s="293"/>
      <c r="K108" s="22"/>
      <c r="L108" s="14"/>
      <c r="M108" s="14"/>
      <c r="N108" s="14"/>
      <c r="O108" s="23"/>
      <c r="P108" s="14"/>
      <c r="Q108" s="23"/>
      <c r="R108" s="43" t="s">
        <v>97</v>
      </c>
      <c r="S108" s="21"/>
      <c r="T108" s="491">
        <v>0</v>
      </c>
      <c r="U108" s="491"/>
      <c r="V108" s="19"/>
    </row>
    <row r="109" spans="1:22" ht="13.5" thickBot="1">
      <c r="A109" s="12"/>
      <c r="B109" s="350"/>
      <c r="C109" s="351"/>
      <c r="D109" s="352" t="s">
        <v>40</v>
      </c>
      <c r="E109" s="353"/>
      <c r="F109" s="158" t="s">
        <v>37</v>
      </c>
      <c r="G109" s="239"/>
      <c r="H109" s="397"/>
      <c r="I109" s="672"/>
      <c r="J109" s="293"/>
      <c r="K109" s="20"/>
      <c r="L109" s="17"/>
      <c r="M109" s="17"/>
      <c r="N109" s="17"/>
      <c r="O109" s="26"/>
      <c r="P109" s="17"/>
      <c r="Q109" s="26"/>
      <c r="R109" s="46" t="s">
        <v>98</v>
      </c>
      <c r="S109" s="18"/>
      <c r="T109" s="492">
        <v>0</v>
      </c>
      <c r="U109" s="492"/>
      <c r="V109" s="19"/>
    </row>
    <row r="110" spans="1:22" ht="13.5" thickBot="1">
      <c r="A110" s="12"/>
      <c r="B110" s="356"/>
      <c r="C110" s="151"/>
      <c r="D110" s="357"/>
      <c r="E110" s="353"/>
      <c r="F110" s="158" t="s">
        <v>39</v>
      </c>
      <c r="G110" s="239"/>
      <c r="H110" s="397"/>
      <c r="I110" s="672"/>
      <c r="J110" s="294"/>
      <c r="K110" s="22"/>
      <c r="L110" s="14"/>
      <c r="M110" s="14"/>
      <c r="N110" s="14"/>
      <c r="O110" s="23"/>
      <c r="P110" s="14"/>
      <c r="Q110" s="23"/>
      <c r="R110" s="43" t="s">
        <v>99</v>
      </c>
      <c r="S110" s="21"/>
      <c r="T110" s="510">
        <v>0</v>
      </c>
      <c r="U110" s="491"/>
      <c r="V110" s="19"/>
    </row>
    <row r="111" spans="1:22" ht="13.5" thickBot="1">
      <c r="A111" s="12"/>
      <c r="B111" s="165" t="s">
        <v>41</v>
      </c>
      <c r="C111" s="166"/>
      <c r="D111" s="166"/>
      <c r="E111" s="167"/>
      <c r="F111" s="169"/>
      <c r="G111" s="362"/>
      <c r="H111" s="401" t="s">
        <v>42</v>
      </c>
      <c r="I111" s="402" t="s">
        <v>43</v>
      </c>
      <c r="J111" s="101"/>
      <c r="K111" s="20"/>
      <c r="L111" s="17"/>
      <c r="M111" s="17"/>
      <c r="N111" s="17"/>
      <c r="O111" s="26"/>
      <c r="P111" s="17"/>
      <c r="Q111" s="26"/>
      <c r="R111" s="46" t="s">
        <v>100</v>
      </c>
      <c r="S111" s="18"/>
      <c r="T111" s="514">
        <v>0</v>
      </c>
      <c r="U111" s="492"/>
      <c r="V111" s="19"/>
    </row>
    <row r="112" spans="1:22" ht="12.75">
      <c r="A112" s="12"/>
      <c r="B112" s="33"/>
      <c r="C112" s="6"/>
      <c r="D112" s="45"/>
      <c r="E112" s="45"/>
      <c r="F112" s="152" t="s">
        <v>44</v>
      </c>
      <c r="G112" s="239"/>
      <c r="H112" s="261"/>
      <c r="I112" s="404"/>
      <c r="J112" s="101"/>
      <c r="K112" s="22"/>
      <c r="L112" s="14"/>
      <c r="M112" s="14"/>
      <c r="N112" s="14"/>
      <c r="O112" s="23"/>
      <c r="P112" s="14"/>
      <c r="Q112" s="14"/>
      <c r="R112" s="43" t="s">
        <v>101</v>
      </c>
      <c r="S112" s="21"/>
      <c r="T112" s="515">
        <v>0</v>
      </c>
      <c r="U112" s="491"/>
      <c r="V112" s="19"/>
    </row>
    <row r="113" spans="1:22" ht="12.75">
      <c r="A113" s="12"/>
      <c r="B113" s="33"/>
      <c r="C113" s="6"/>
      <c r="D113" s="49"/>
      <c r="E113" s="49"/>
      <c r="F113" s="96" t="s">
        <v>117</v>
      </c>
      <c r="G113" s="239"/>
      <c r="H113" s="672"/>
      <c r="I113" s="672"/>
      <c r="J113" s="101"/>
      <c r="K113" s="12"/>
      <c r="L113" s="1"/>
      <c r="M113" s="1"/>
      <c r="N113" s="1"/>
      <c r="O113" s="6"/>
      <c r="P113" s="1"/>
      <c r="Q113" s="1"/>
      <c r="R113" s="82" t="s">
        <v>103</v>
      </c>
      <c r="S113" s="19"/>
      <c r="T113" s="1182">
        <v>0</v>
      </c>
      <c r="U113" s="493"/>
      <c r="V113" s="19"/>
    </row>
    <row r="114" spans="1:22" ht="13.5" thickBot="1">
      <c r="A114" s="94"/>
      <c r="B114" s="33"/>
      <c r="C114" s="26"/>
      <c r="D114" s="46"/>
      <c r="E114" s="46"/>
      <c r="F114" s="153" t="s">
        <v>46</v>
      </c>
      <c r="G114" s="239"/>
      <c r="H114" s="672"/>
      <c r="I114" s="672"/>
      <c r="J114" s="102"/>
      <c r="K114" s="20"/>
      <c r="L114" s="17"/>
      <c r="M114" s="17"/>
      <c r="N114" s="17"/>
      <c r="O114" s="17"/>
      <c r="P114" s="17"/>
      <c r="Q114" s="26"/>
      <c r="R114" s="45" t="s">
        <v>536</v>
      </c>
      <c r="S114" s="18"/>
      <c r="T114" s="514">
        <v>0</v>
      </c>
      <c r="U114" s="492"/>
      <c r="V114" s="19"/>
    </row>
    <row r="115" spans="1:22" ht="13.5" thickBot="1">
      <c r="A115" s="94"/>
      <c r="B115" s="363" t="s">
        <v>47</v>
      </c>
      <c r="C115" s="364"/>
      <c r="D115" s="364"/>
      <c r="E115" s="364"/>
      <c r="F115" s="365"/>
      <c r="G115" s="27"/>
      <c r="H115" s="401" t="s">
        <v>42</v>
      </c>
      <c r="I115" s="402" t="s">
        <v>43</v>
      </c>
      <c r="J115" s="101"/>
      <c r="K115" s="22"/>
      <c r="L115" s="14"/>
      <c r="M115" s="14"/>
      <c r="N115" s="14"/>
      <c r="O115" s="23"/>
      <c r="P115" s="14"/>
      <c r="Q115" s="23"/>
      <c r="R115" s="85" t="s">
        <v>104</v>
      </c>
      <c r="S115" s="21"/>
      <c r="T115" s="511">
        <v>0</v>
      </c>
      <c r="U115" s="494"/>
      <c r="V115" s="19"/>
    </row>
    <row r="116" spans="1:22" ht="12.75">
      <c r="A116" s="12"/>
      <c r="B116" s="56"/>
      <c r="C116" s="10"/>
      <c r="D116" s="10"/>
      <c r="E116" s="57"/>
      <c r="F116" s="154" t="s">
        <v>48</v>
      </c>
      <c r="G116" s="239"/>
      <c r="H116" s="261"/>
      <c r="I116" s="261"/>
      <c r="J116" s="101"/>
      <c r="K116" s="12"/>
      <c r="L116" s="1"/>
      <c r="M116" s="1"/>
      <c r="N116" s="1"/>
      <c r="O116" s="6"/>
      <c r="P116" s="1"/>
      <c r="Q116" s="6"/>
      <c r="R116" s="82" t="s">
        <v>105</v>
      </c>
      <c r="S116" s="19"/>
      <c r="T116" s="512">
        <v>0</v>
      </c>
      <c r="U116" s="495"/>
      <c r="V116" s="19"/>
    </row>
    <row r="117" spans="1:22" ht="12.75">
      <c r="A117" s="12"/>
      <c r="B117" s="33"/>
      <c r="C117" s="6"/>
      <c r="D117" s="6"/>
      <c r="E117" s="45"/>
      <c r="F117" s="152" t="s">
        <v>49</v>
      </c>
      <c r="G117" s="239"/>
      <c r="H117" s="405"/>
      <c r="I117" s="261"/>
      <c r="J117" s="101"/>
      <c r="K117" s="12"/>
      <c r="L117" s="1"/>
      <c r="M117" s="1"/>
      <c r="N117" s="1"/>
      <c r="O117" s="6"/>
      <c r="P117" s="1"/>
      <c r="Q117" s="6"/>
      <c r="R117" s="82" t="s">
        <v>106</v>
      </c>
      <c r="S117" s="19"/>
      <c r="T117" s="512">
        <v>0</v>
      </c>
      <c r="U117" s="496"/>
      <c r="V117" s="19"/>
    </row>
    <row r="118" spans="1:22" ht="13.5" thickBot="1">
      <c r="A118" s="12"/>
      <c r="B118" s="47"/>
      <c r="C118" s="10"/>
      <c r="D118" s="10"/>
      <c r="E118" s="48"/>
      <c r="F118" s="154" t="s">
        <v>50</v>
      </c>
      <c r="G118" s="239"/>
      <c r="H118" s="405"/>
      <c r="I118" s="261"/>
      <c r="J118" s="101"/>
      <c r="K118" s="20"/>
      <c r="L118" s="17"/>
      <c r="M118" s="17"/>
      <c r="N118" s="17"/>
      <c r="O118" s="26"/>
      <c r="P118" s="17"/>
      <c r="Q118" s="26"/>
      <c r="R118" s="90" t="s">
        <v>107</v>
      </c>
      <c r="S118" s="18"/>
      <c r="T118" s="518">
        <v>0</v>
      </c>
      <c r="U118" s="497"/>
      <c r="V118" s="19"/>
    </row>
    <row r="119" spans="1:22" ht="12.75">
      <c r="A119" s="12"/>
      <c r="B119" s="33"/>
      <c r="C119" s="6"/>
      <c r="D119" s="6"/>
      <c r="E119" s="45"/>
      <c r="F119" s="152" t="s">
        <v>51</v>
      </c>
      <c r="G119" s="239"/>
      <c r="H119" s="405"/>
      <c r="I119" s="261"/>
      <c r="J119" s="101"/>
      <c r="K119" s="22"/>
      <c r="L119" s="14"/>
      <c r="M119" s="14"/>
      <c r="N119" s="14"/>
      <c r="O119" s="14"/>
      <c r="P119" s="14"/>
      <c r="Q119" s="14"/>
      <c r="R119" s="43" t="s">
        <v>108</v>
      </c>
      <c r="S119" s="21"/>
      <c r="T119" s="517">
        <v>0</v>
      </c>
      <c r="U119" s="494"/>
      <c r="V119" s="19"/>
    </row>
    <row r="120" spans="1:22" ht="12.75">
      <c r="A120" s="12"/>
      <c r="B120" s="47"/>
      <c r="C120" s="10"/>
      <c r="D120" s="10"/>
      <c r="E120" s="48"/>
      <c r="F120" s="154" t="s">
        <v>52</v>
      </c>
      <c r="G120" s="239"/>
      <c r="H120" s="405"/>
      <c r="I120" s="261"/>
      <c r="J120" s="101"/>
      <c r="K120" s="12"/>
      <c r="L120" s="1"/>
      <c r="M120" s="1"/>
      <c r="N120" s="1"/>
      <c r="O120" s="6"/>
      <c r="P120" s="1"/>
      <c r="Q120" s="1"/>
      <c r="R120" s="45" t="s">
        <v>109</v>
      </c>
      <c r="S120" s="19"/>
      <c r="T120" s="513">
        <v>0</v>
      </c>
      <c r="U120" s="498"/>
      <c r="V120" s="19"/>
    </row>
    <row r="121" spans="1:22" ht="12.75">
      <c r="A121" s="12"/>
      <c r="B121" s="33"/>
      <c r="C121" s="6"/>
      <c r="D121" s="6"/>
      <c r="E121" s="45"/>
      <c r="F121" s="152" t="s">
        <v>53</v>
      </c>
      <c r="G121" s="239"/>
      <c r="H121" s="405"/>
      <c r="I121" s="261"/>
      <c r="J121" s="101"/>
      <c r="K121" s="12"/>
      <c r="L121" s="1"/>
      <c r="M121" s="1"/>
      <c r="N121" s="1"/>
      <c r="O121" s="6"/>
      <c r="P121" s="1"/>
      <c r="Q121" s="1"/>
      <c r="R121" s="82" t="s">
        <v>111</v>
      </c>
      <c r="S121" s="19"/>
      <c r="T121" s="1182">
        <v>0</v>
      </c>
      <c r="U121" s="499"/>
      <c r="V121" s="19"/>
    </row>
    <row r="122" spans="1:22" ht="13.5" thickBot="1">
      <c r="A122" s="12"/>
      <c r="B122" s="47"/>
      <c r="C122" s="10"/>
      <c r="D122" s="10"/>
      <c r="E122" s="48"/>
      <c r="F122" s="154" t="s">
        <v>54</v>
      </c>
      <c r="G122" s="239">
        <v>2</v>
      </c>
      <c r="H122" s="405"/>
      <c r="I122" s="261"/>
      <c r="J122" s="101"/>
      <c r="K122" s="20"/>
      <c r="L122" s="17"/>
      <c r="M122" s="17"/>
      <c r="N122" s="17"/>
      <c r="O122" s="17"/>
      <c r="P122" s="17"/>
      <c r="Q122" s="26"/>
      <c r="R122" s="90" t="s">
        <v>110</v>
      </c>
      <c r="S122" s="18"/>
      <c r="T122" s="514">
        <v>0</v>
      </c>
      <c r="U122" s="500"/>
      <c r="V122" s="19"/>
    </row>
    <row r="123" spans="1:22" ht="12.75">
      <c r="A123" s="12"/>
      <c r="B123" s="33"/>
      <c r="C123" s="6"/>
      <c r="D123" s="6"/>
      <c r="E123" s="45"/>
      <c r="F123" s="152" t="s">
        <v>55</v>
      </c>
      <c r="G123" s="239">
        <v>2</v>
      </c>
      <c r="H123" s="405"/>
      <c r="I123" s="261"/>
      <c r="J123" s="101"/>
      <c r="K123" s="22"/>
      <c r="L123" s="14"/>
      <c r="M123" s="14"/>
      <c r="N123" s="14"/>
      <c r="O123" s="14"/>
      <c r="P123" s="14"/>
      <c r="Q123" s="23"/>
      <c r="R123" s="85" t="s">
        <v>112</v>
      </c>
      <c r="S123" s="21"/>
      <c r="T123" s="501">
        <v>0</v>
      </c>
      <c r="U123" s="501"/>
      <c r="V123" s="19"/>
    </row>
    <row r="124" spans="1:22" ht="13.5" thickBot="1">
      <c r="A124" s="12"/>
      <c r="B124" s="33"/>
      <c r="C124" s="6"/>
      <c r="D124" s="6"/>
      <c r="E124" s="45"/>
      <c r="F124" s="152" t="s">
        <v>56</v>
      </c>
      <c r="G124" s="239"/>
      <c r="H124" s="405"/>
      <c r="I124" s="261"/>
      <c r="J124" s="101"/>
      <c r="K124" s="20"/>
      <c r="L124" s="17"/>
      <c r="M124" s="17"/>
      <c r="N124" s="17"/>
      <c r="O124" s="17"/>
      <c r="P124" s="17"/>
      <c r="Q124" s="26"/>
      <c r="R124" s="90" t="s">
        <v>113</v>
      </c>
      <c r="S124" s="18"/>
      <c r="T124" s="502">
        <v>0</v>
      </c>
      <c r="U124" s="502"/>
      <c r="V124" s="19"/>
    </row>
    <row r="125" spans="1:22" ht="3.75" customHeight="1" thickBot="1">
      <c r="A125" s="12"/>
      <c r="B125" s="284"/>
      <c r="C125" s="284"/>
      <c r="D125" s="284"/>
      <c r="E125" s="285"/>
      <c r="F125" s="285"/>
      <c r="G125" s="6"/>
      <c r="H125" s="443"/>
      <c r="I125" s="444"/>
      <c r="J125" s="95"/>
      <c r="K125" s="1"/>
      <c r="L125" s="1"/>
      <c r="M125" s="1"/>
      <c r="N125" s="1"/>
      <c r="O125" s="1"/>
      <c r="P125" s="1"/>
      <c r="Q125" s="1"/>
      <c r="R125" s="1"/>
      <c r="S125" s="1"/>
      <c r="T125" s="1"/>
      <c r="U125" s="1"/>
      <c r="V125" s="19"/>
    </row>
    <row r="126" spans="1:22" ht="13.5" thickBot="1">
      <c r="A126" s="12"/>
      <c r="B126" s="165" t="s">
        <v>57</v>
      </c>
      <c r="C126" s="166"/>
      <c r="D126" s="166"/>
      <c r="E126" s="186"/>
      <c r="F126" s="187"/>
      <c r="G126" s="6"/>
      <c r="H126" s="445" t="s">
        <v>13</v>
      </c>
      <c r="I126" s="446" t="s">
        <v>14</v>
      </c>
      <c r="J126" s="95"/>
      <c r="V126" s="19"/>
    </row>
    <row r="127" spans="1:22" ht="12.75">
      <c r="A127" s="12"/>
      <c r="B127" s="160"/>
      <c r="C127" s="6"/>
      <c r="D127" s="6"/>
      <c r="E127" s="45"/>
      <c r="F127" s="152" t="s">
        <v>118</v>
      </c>
      <c r="G127" s="239"/>
      <c r="H127" s="433">
        <v>0</v>
      </c>
      <c r="I127" s="433">
        <v>0</v>
      </c>
      <c r="J127" s="121"/>
      <c r="V127" s="19"/>
    </row>
    <row r="128" spans="1:22" ht="13.5" thickBot="1">
      <c r="A128" s="12"/>
      <c r="B128" s="33"/>
      <c r="C128" s="6"/>
      <c r="D128" s="6"/>
      <c r="E128" s="45"/>
      <c r="F128" s="45" t="s">
        <v>59</v>
      </c>
      <c r="G128" s="239"/>
      <c r="H128" s="520">
        <v>0</v>
      </c>
      <c r="I128" s="520">
        <v>0</v>
      </c>
      <c r="J128" s="121"/>
      <c r="K128" s="1"/>
      <c r="L128" s="1"/>
      <c r="M128" s="1"/>
      <c r="N128" s="1"/>
      <c r="O128" s="1"/>
      <c r="P128" s="1"/>
      <c r="Q128" s="1"/>
      <c r="R128" s="1"/>
      <c r="S128" s="1"/>
      <c r="T128" s="1"/>
      <c r="U128" s="1"/>
      <c r="V128" s="19"/>
    </row>
    <row r="129" spans="1:22" ht="24" customHeight="1" thickBot="1">
      <c r="A129" s="12"/>
      <c r="B129" s="14"/>
      <c r="C129" s="14"/>
      <c r="D129" s="14"/>
      <c r="E129" s="14"/>
      <c r="F129" s="14"/>
      <c r="G129" s="1"/>
      <c r="H129" s="372"/>
      <c r="I129" s="14"/>
      <c r="J129" s="1"/>
      <c r="K129" s="1"/>
      <c r="L129" s="1"/>
      <c r="M129" s="1"/>
      <c r="N129" s="1"/>
      <c r="O129" s="1"/>
      <c r="P129" s="1"/>
      <c r="Q129" s="1"/>
      <c r="U129" s="1"/>
      <c r="V129" s="19"/>
    </row>
    <row r="130" spans="1:22" ht="13.5" thickBot="1">
      <c r="A130" s="12"/>
      <c r="B130" s="503" t="s">
        <v>62</v>
      </c>
      <c r="C130" s="447" t="s">
        <v>119</v>
      </c>
      <c r="D130" s="504"/>
      <c r="E130" s="505" t="s">
        <v>120</v>
      </c>
      <c r="F130" s="447">
        <v>0</v>
      </c>
      <c r="G130" s="102">
        <v>60</v>
      </c>
      <c r="H130" s="719"/>
      <c r="I130" s="684" t="s">
        <v>121</v>
      </c>
      <c r="J130" s="102"/>
      <c r="K130" s="684" t="s">
        <v>122</v>
      </c>
      <c r="L130" s="684" t="s">
        <v>123</v>
      </c>
      <c r="M130" s="102"/>
      <c r="N130" s="684" t="s">
        <v>124</v>
      </c>
      <c r="O130" s="684" t="s">
        <v>124</v>
      </c>
      <c r="P130" s="27"/>
      <c r="Q130" s="684" t="s">
        <v>124</v>
      </c>
      <c r="R130" s="12"/>
      <c r="S130" s="19"/>
      <c r="T130" s="684" t="s">
        <v>125</v>
      </c>
      <c r="U130" s="684" t="s">
        <v>126</v>
      </c>
      <c r="V130" s="27"/>
    </row>
    <row r="131" spans="1:22" ht="12.75">
      <c r="A131" s="12"/>
      <c r="B131" s="98" t="s">
        <v>63</v>
      </c>
      <c r="C131" s="723" t="s">
        <v>66</v>
      </c>
      <c r="D131" s="723" t="s">
        <v>127</v>
      </c>
      <c r="E131" s="723" t="s">
        <v>128</v>
      </c>
      <c r="F131" s="684" t="s">
        <v>129</v>
      </c>
      <c r="G131" s="102"/>
      <c r="H131" s="685" t="s">
        <v>121</v>
      </c>
      <c r="I131" s="685" t="s">
        <v>130</v>
      </c>
      <c r="J131" s="102"/>
      <c r="K131" s="685" t="s">
        <v>131</v>
      </c>
      <c r="L131" s="685" t="s">
        <v>63</v>
      </c>
      <c r="M131" s="102"/>
      <c r="N131" s="685" t="s">
        <v>121</v>
      </c>
      <c r="O131" s="685" t="s">
        <v>35</v>
      </c>
      <c r="P131" s="27"/>
      <c r="Q131" s="685" t="s">
        <v>131</v>
      </c>
      <c r="R131" s="12"/>
      <c r="S131" s="19"/>
      <c r="T131" s="685" t="s">
        <v>537</v>
      </c>
      <c r="U131" s="685" t="s">
        <v>132</v>
      </c>
      <c r="V131" s="27"/>
    </row>
    <row r="132" spans="1:22" ht="12.75">
      <c r="A132" s="12"/>
      <c r="B132" s="100"/>
      <c r="C132" s="724"/>
      <c r="D132" s="724" t="s">
        <v>133</v>
      </c>
      <c r="E132" s="724" t="s">
        <v>133</v>
      </c>
      <c r="F132" s="685" t="s">
        <v>133</v>
      </c>
      <c r="G132" s="102"/>
      <c r="H132" s="685" t="s">
        <v>134</v>
      </c>
      <c r="I132" s="685" t="s">
        <v>134</v>
      </c>
      <c r="J132" s="102"/>
      <c r="K132" s="685"/>
      <c r="L132" s="685" t="s">
        <v>131</v>
      </c>
      <c r="M132" s="102"/>
      <c r="N132" s="685" t="s">
        <v>131</v>
      </c>
      <c r="O132" s="685" t="s">
        <v>131</v>
      </c>
      <c r="P132" s="27"/>
      <c r="Q132" s="685"/>
      <c r="R132" s="12"/>
      <c r="S132" s="19"/>
      <c r="T132" s="685" t="s">
        <v>133</v>
      </c>
      <c r="U132" s="685" t="s">
        <v>133</v>
      </c>
      <c r="V132" s="27"/>
    </row>
    <row r="133" spans="1:22" s="678" customFormat="1" ht="13.5" thickBot="1">
      <c r="A133" s="674"/>
      <c r="B133" s="675" t="s">
        <v>67</v>
      </c>
      <c r="C133" s="725" t="s">
        <v>68</v>
      </c>
      <c r="D133" s="727" t="s">
        <v>68</v>
      </c>
      <c r="E133" s="686" t="s">
        <v>68</v>
      </c>
      <c r="F133" s="686" t="s">
        <v>68</v>
      </c>
      <c r="G133" s="681"/>
      <c r="H133" s="686" t="s">
        <v>135</v>
      </c>
      <c r="I133" s="686" t="s">
        <v>136</v>
      </c>
      <c r="J133" s="681"/>
      <c r="K133" s="686" t="s">
        <v>137</v>
      </c>
      <c r="L133" s="686" t="s">
        <v>381</v>
      </c>
      <c r="M133" s="681"/>
      <c r="N133" s="686" t="s">
        <v>137</v>
      </c>
      <c r="O133" s="686" t="s">
        <v>137</v>
      </c>
      <c r="P133" s="682"/>
      <c r="Q133" s="686" t="s">
        <v>137</v>
      </c>
      <c r="R133" s="674"/>
      <c r="S133" s="677"/>
      <c r="T133" s="686" t="s">
        <v>138</v>
      </c>
      <c r="U133" s="686" t="s">
        <v>138</v>
      </c>
      <c r="V133" s="682"/>
    </row>
    <row r="134" spans="1:29" ht="12.75">
      <c r="A134" s="12"/>
      <c r="B134" s="448">
        <v>0</v>
      </c>
      <c r="C134" s="738"/>
      <c r="D134" s="739"/>
      <c r="E134" s="126">
        <f aca="true" t="shared" si="1" ref="E134:E157">D134*(1+$F$96)^$F$97</f>
        <v>0</v>
      </c>
      <c r="F134" s="712">
        <v>0</v>
      </c>
      <c r="G134" s="27">
        <v>0.1</v>
      </c>
      <c r="H134" s="712">
        <v>0</v>
      </c>
      <c r="I134" s="705">
        <f aca="true" t="shared" si="2" ref="I134:I157">+H134*$I$412/5280</f>
        <v>0</v>
      </c>
      <c r="J134" s="449"/>
      <c r="K134" s="720"/>
      <c r="L134" s="712">
        <v>0</v>
      </c>
      <c r="M134" s="226"/>
      <c r="N134" s="720"/>
      <c r="O134" s="720"/>
      <c r="P134" s="450"/>
      <c r="Q134" s="708">
        <f aca="true" t="shared" si="3" ref="Q134:Q157">N134+O134</f>
        <v>0</v>
      </c>
      <c r="R134" s="12"/>
      <c r="S134" s="19"/>
      <c r="T134" s="687">
        <f aca="true" t="shared" si="4" ref="T134:T157">U166/(E134+0.000001)</f>
        <v>0</v>
      </c>
      <c r="U134" s="687">
        <f aca="true" t="shared" si="5" ref="U134:U157">T166/(F134+0.000001)</f>
        <v>0</v>
      </c>
      <c r="V134" s="27"/>
      <c r="AC134" s="451"/>
    </row>
    <row r="135" spans="1:29" ht="12.75">
      <c r="A135" s="12"/>
      <c r="B135" s="448" t="s">
        <v>69</v>
      </c>
      <c r="C135" s="738"/>
      <c r="D135" s="740"/>
      <c r="E135" s="741">
        <f t="shared" si="1"/>
        <v>0</v>
      </c>
      <c r="F135" s="714">
        <v>0</v>
      </c>
      <c r="G135" s="27">
        <v>10.79</v>
      </c>
      <c r="H135" s="714">
        <v>0</v>
      </c>
      <c r="I135" s="696">
        <f t="shared" si="2"/>
        <v>0</v>
      </c>
      <c r="J135" s="449"/>
      <c r="K135" s="721"/>
      <c r="L135" s="714">
        <v>0</v>
      </c>
      <c r="M135" s="226"/>
      <c r="N135" s="721"/>
      <c r="O135" s="721"/>
      <c r="P135" s="450"/>
      <c r="Q135" s="708">
        <f t="shared" si="3"/>
        <v>0</v>
      </c>
      <c r="R135" s="12"/>
      <c r="S135" s="19"/>
      <c r="T135" s="687">
        <f t="shared" si="4"/>
        <v>0</v>
      </c>
      <c r="U135" s="687">
        <f t="shared" si="5"/>
        <v>0</v>
      </c>
      <c r="V135" s="27"/>
      <c r="AC135" s="451"/>
    </row>
    <row r="136" spans="1:29" ht="12.75">
      <c r="A136" s="12"/>
      <c r="B136" s="448" t="s">
        <v>70</v>
      </c>
      <c r="C136" s="738"/>
      <c r="D136" s="740"/>
      <c r="E136" s="741">
        <f t="shared" si="1"/>
        <v>0</v>
      </c>
      <c r="F136" s="714">
        <v>0</v>
      </c>
      <c r="G136" s="27">
        <v>0.5</v>
      </c>
      <c r="H136" s="714">
        <v>0</v>
      </c>
      <c r="I136" s="696">
        <f t="shared" si="2"/>
        <v>0</v>
      </c>
      <c r="J136" s="449"/>
      <c r="K136" s="721"/>
      <c r="L136" s="714">
        <v>0</v>
      </c>
      <c r="M136" s="226"/>
      <c r="N136" s="721"/>
      <c r="O136" s="721"/>
      <c r="P136" s="450"/>
      <c r="Q136" s="708">
        <f t="shared" si="3"/>
        <v>0</v>
      </c>
      <c r="R136" s="12"/>
      <c r="S136" s="19"/>
      <c r="T136" s="687">
        <f t="shared" si="4"/>
        <v>0</v>
      </c>
      <c r="U136" s="687">
        <f t="shared" si="5"/>
        <v>0</v>
      </c>
      <c r="V136" s="27"/>
      <c r="AC136" s="451"/>
    </row>
    <row r="137" spans="1:29" ht="12.75">
      <c r="A137" s="12"/>
      <c r="B137" s="448" t="s">
        <v>71</v>
      </c>
      <c r="C137" s="738"/>
      <c r="D137" s="740"/>
      <c r="E137" s="741">
        <f t="shared" si="1"/>
        <v>0</v>
      </c>
      <c r="F137" s="714">
        <v>0</v>
      </c>
      <c r="G137" s="27">
        <v>10</v>
      </c>
      <c r="H137" s="714">
        <v>0</v>
      </c>
      <c r="I137" s="696">
        <f t="shared" si="2"/>
        <v>0</v>
      </c>
      <c r="J137" s="449"/>
      <c r="K137" s="721"/>
      <c r="L137" s="714">
        <v>0</v>
      </c>
      <c r="M137" s="226"/>
      <c r="N137" s="721"/>
      <c r="O137" s="721"/>
      <c r="P137" s="450"/>
      <c r="Q137" s="708">
        <f t="shared" si="3"/>
        <v>0</v>
      </c>
      <c r="R137" s="12"/>
      <c r="S137" s="19"/>
      <c r="T137" s="687">
        <f t="shared" si="4"/>
        <v>0</v>
      </c>
      <c r="U137" s="687">
        <f t="shared" si="5"/>
        <v>0</v>
      </c>
      <c r="V137" s="27"/>
      <c r="AC137" s="451"/>
    </row>
    <row r="138" spans="1:29" ht="12.75">
      <c r="A138" s="12"/>
      <c r="B138" s="448" t="s">
        <v>72</v>
      </c>
      <c r="C138" s="738"/>
      <c r="D138" s="740"/>
      <c r="E138" s="741">
        <f t="shared" si="1"/>
        <v>0</v>
      </c>
      <c r="F138" s="714">
        <v>0</v>
      </c>
      <c r="G138" s="27"/>
      <c r="H138" s="714">
        <v>0</v>
      </c>
      <c r="I138" s="696">
        <f t="shared" si="2"/>
        <v>0</v>
      </c>
      <c r="J138" s="449"/>
      <c r="K138" s="721"/>
      <c r="L138" s="714">
        <v>0</v>
      </c>
      <c r="M138" s="226"/>
      <c r="N138" s="721"/>
      <c r="O138" s="721"/>
      <c r="P138" s="450"/>
      <c r="Q138" s="708">
        <f t="shared" si="3"/>
        <v>0</v>
      </c>
      <c r="R138" s="12"/>
      <c r="S138" s="19"/>
      <c r="T138" s="687">
        <f t="shared" si="4"/>
        <v>0</v>
      </c>
      <c r="U138" s="687">
        <f t="shared" si="5"/>
        <v>0</v>
      </c>
      <c r="V138" s="27"/>
      <c r="AC138" s="451"/>
    </row>
    <row r="139" spans="1:29" ht="12.75">
      <c r="A139" s="12"/>
      <c r="B139" s="448" t="s">
        <v>73</v>
      </c>
      <c r="C139" s="738"/>
      <c r="D139" s="740"/>
      <c r="E139" s="741">
        <f t="shared" si="1"/>
        <v>0</v>
      </c>
      <c r="F139" s="714">
        <v>0</v>
      </c>
      <c r="G139" s="27"/>
      <c r="H139" s="714">
        <v>0</v>
      </c>
      <c r="I139" s="696">
        <f t="shared" si="2"/>
        <v>0</v>
      </c>
      <c r="J139" s="449"/>
      <c r="K139" s="721"/>
      <c r="L139" s="714">
        <v>0</v>
      </c>
      <c r="M139" s="226"/>
      <c r="N139" s="721"/>
      <c r="O139" s="721"/>
      <c r="P139" s="450"/>
      <c r="Q139" s="708">
        <f t="shared" si="3"/>
        <v>0</v>
      </c>
      <c r="R139" s="12"/>
      <c r="S139" s="19"/>
      <c r="T139" s="687">
        <f t="shared" si="4"/>
        <v>0</v>
      </c>
      <c r="U139" s="687">
        <f t="shared" si="5"/>
        <v>0</v>
      </c>
      <c r="V139" s="27"/>
      <c r="AC139" s="451"/>
    </row>
    <row r="140" spans="1:29" ht="12.75">
      <c r="A140" s="12"/>
      <c r="B140" s="448" t="s">
        <v>74</v>
      </c>
      <c r="C140" s="738"/>
      <c r="D140" s="740"/>
      <c r="E140" s="741">
        <f t="shared" si="1"/>
        <v>0</v>
      </c>
      <c r="F140" s="714">
        <v>0</v>
      </c>
      <c r="G140" s="27"/>
      <c r="H140" s="714">
        <v>0</v>
      </c>
      <c r="I140" s="696">
        <f t="shared" si="2"/>
        <v>0</v>
      </c>
      <c r="J140" s="449"/>
      <c r="K140" s="721"/>
      <c r="L140" s="714">
        <v>0</v>
      </c>
      <c r="M140" s="226"/>
      <c r="N140" s="721"/>
      <c r="O140" s="721"/>
      <c r="P140" s="450"/>
      <c r="Q140" s="708">
        <f t="shared" si="3"/>
        <v>0</v>
      </c>
      <c r="R140" s="12"/>
      <c r="S140" s="19"/>
      <c r="T140" s="687">
        <f t="shared" si="4"/>
        <v>0</v>
      </c>
      <c r="U140" s="687">
        <f t="shared" si="5"/>
        <v>0</v>
      </c>
      <c r="V140" s="27"/>
      <c r="AC140" s="451"/>
    </row>
    <row r="141" spans="1:29" ht="12.75">
      <c r="A141" s="12"/>
      <c r="B141" s="448" t="s">
        <v>75</v>
      </c>
      <c r="C141" s="738"/>
      <c r="D141" s="742"/>
      <c r="E141" s="741">
        <f t="shared" si="1"/>
        <v>0</v>
      </c>
      <c r="F141" s="714">
        <v>0</v>
      </c>
      <c r="G141" s="27"/>
      <c r="H141" s="714">
        <v>0</v>
      </c>
      <c r="I141" s="696">
        <f t="shared" si="2"/>
        <v>0</v>
      </c>
      <c r="J141" s="449"/>
      <c r="K141" s="721"/>
      <c r="L141" s="714">
        <v>0</v>
      </c>
      <c r="M141" s="226"/>
      <c r="N141" s="721"/>
      <c r="O141" s="721"/>
      <c r="P141" s="450"/>
      <c r="Q141" s="708">
        <f t="shared" si="3"/>
        <v>0</v>
      </c>
      <c r="R141" s="12"/>
      <c r="S141" s="19"/>
      <c r="T141" s="687">
        <f t="shared" si="4"/>
        <v>0</v>
      </c>
      <c r="U141" s="687">
        <f t="shared" si="5"/>
        <v>0</v>
      </c>
      <c r="V141" s="27"/>
      <c r="AC141" s="451"/>
    </row>
    <row r="142" spans="1:29" ht="12.75">
      <c r="A142" s="12"/>
      <c r="B142" s="448" t="s">
        <v>76</v>
      </c>
      <c r="C142" s="738"/>
      <c r="D142" s="742"/>
      <c r="E142" s="741">
        <f t="shared" si="1"/>
        <v>0</v>
      </c>
      <c r="F142" s="714">
        <v>0</v>
      </c>
      <c r="G142" s="27"/>
      <c r="H142" s="714">
        <v>0</v>
      </c>
      <c r="I142" s="696">
        <f t="shared" si="2"/>
        <v>0</v>
      </c>
      <c r="J142" s="449"/>
      <c r="K142" s="721"/>
      <c r="L142" s="714">
        <v>0</v>
      </c>
      <c r="M142" s="226"/>
      <c r="N142" s="721"/>
      <c r="O142" s="721"/>
      <c r="P142" s="450"/>
      <c r="Q142" s="708">
        <f t="shared" si="3"/>
        <v>0</v>
      </c>
      <c r="R142" s="12"/>
      <c r="S142" s="19"/>
      <c r="T142" s="687">
        <f t="shared" si="4"/>
        <v>0</v>
      </c>
      <c r="U142" s="687">
        <f t="shared" si="5"/>
        <v>0</v>
      </c>
      <c r="V142" s="27"/>
      <c r="AC142" s="451"/>
    </row>
    <row r="143" spans="1:29" ht="12.75">
      <c r="A143" s="12"/>
      <c r="B143" s="448" t="s">
        <v>77</v>
      </c>
      <c r="C143" s="738"/>
      <c r="D143" s="740"/>
      <c r="E143" s="741">
        <f t="shared" si="1"/>
        <v>0</v>
      </c>
      <c r="F143" s="714">
        <v>0</v>
      </c>
      <c r="G143" s="27"/>
      <c r="H143" s="714">
        <v>0</v>
      </c>
      <c r="I143" s="696">
        <f t="shared" si="2"/>
        <v>0</v>
      </c>
      <c r="J143" s="449"/>
      <c r="K143" s="721"/>
      <c r="L143" s="714">
        <v>0</v>
      </c>
      <c r="M143" s="226"/>
      <c r="N143" s="721"/>
      <c r="O143" s="721"/>
      <c r="P143" s="450"/>
      <c r="Q143" s="708">
        <f t="shared" si="3"/>
        <v>0</v>
      </c>
      <c r="R143" s="12"/>
      <c r="S143" s="19"/>
      <c r="T143" s="687">
        <f t="shared" si="4"/>
        <v>0</v>
      </c>
      <c r="U143" s="687">
        <f t="shared" si="5"/>
        <v>0</v>
      </c>
      <c r="V143" s="27"/>
      <c r="AC143" s="451"/>
    </row>
    <row r="144" spans="1:29" ht="12.75">
      <c r="A144" s="12"/>
      <c r="B144" s="448" t="s">
        <v>78</v>
      </c>
      <c r="C144" s="738"/>
      <c r="D144" s="742"/>
      <c r="E144" s="741">
        <f t="shared" si="1"/>
        <v>0</v>
      </c>
      <c r="F144" s="714">
        <v>0</v>
      </c>
      <c r="G144" s="27"/>
      <c r="H144" s="714">
        <v>0</v>
      </c>
      <c r="I144" s="696">
        <f t="shared" si="2"/>
        <v>0</v>
      </c>
      <c r="J144" s="449"/>
      <c r="K144" s="721"/>
      <c r="L144" s="714">
        <v>0</v>
      </c>
      <c r="M144" s="226"/>
      <c r="N144" s="721"/>
      <c r="O144" s="721"/>
      <c r="P144" s="450"/>
      <c r="Q144" s="708">
        <f t="shared" si="3"/>
        <v>0</v>
      </c>
      <c r="R144" s="12"/>
      <c r="S144" s="19"/>
      <c r="T144" s="687">
        <f t="shared" si="4"/>
        <v>0</v>
      </c>
      <c r="U144" s="687">
        <f t="shared" si="5"/>
        <v>0</v>
      </c>
      <c r="V144" s="27"/>
      <c r="AC144" s="451"/>
    </row>
    <row r="145" spans="1:29" ht="12.75">
      <c r="A145" s="12"/>
      <c r="B145" s="448" t="s">
        <v>79</v>
      </c>
      <c r="C145" s="738"/>
      <c r="D145" s="740"/>
      <c r="E145" s="741">
        <f t="shared" si="1"/>
        <v>0</v>
      </c>
      <c r="F145" s="714">
        <v>0</v>
      </c>
      <c r="G145" s="27"/>
      <c r="H145" s="714">
        <v>0</v>
      </c>
      <c r="I145" s="696">
        <f t="shared" si="2"/>
        <v>0</v>
      </c>
      <c r="J145" s="449"/>
      <c r="K145" s="721"/>
      <c r="L145" s="714">
        <v>0</v>
      </c>
      <c r="M145" s="226"/>
      <c r="N145" s="721"/>
      <c r="O145" s="721"/>
      <c r="P145" s="450"/>
      <c r="Q145" s="708">
        <f t="shared" si="3"/>
        <v>0</v>
      </c>
      <c r="R145" s="12"/>
      <c r="S145" s="19"/>
      <c r="T145" s="687">
        <f t="shared" si="4"/>
        <v>0</v>
      </c>
      <c r="U145" s="687">
        <f t="shared" si="5"/>
        <v>0</v>
      </c>
      <c r="V145" s="27"/>
      <c r="AC145" s="451"/>
    </row>
    <row r="146" spans="1:29" ht="12.75">
      <c r="A146" s="12"/>
      <c r="B146" s="448" t="s">
        <v>80</v>
      </c>
      <c r="C146" s="738"/>
      <c r="D146" s="743"/>
      <c r="E146" s="741">
        <f t="shared" si="1"/>
        <v>0</v>
      </c>
      <c r="F146" s="714">
        <v>0</v>
      </c>
      <c r="G146" s="27"/>
      <c r="H146" s="714">
        <v>0</v>
      </c>
      <c r="I146" s="696">
        <f t="shared" si="2"/>
        <v>0</v>
      </c>
      <c r="J146" s="449"/>
      <c r="K146" s="721"/>
      <c r="L146" s="714">
        <v>0</v>
      </c>
      <c r="M146" s="226"/>
      <c r="N146" s="721"/>
      <c r="O146" s="721"/>
      <c r="P146" s="450"/>
      <c r="Q146" s="708">
        <f t="shared" si="3"/>
        <v>0</v>
      </c>
      <c r="R146" s="12"/>
      <c r="S146" s="19"/>
      <c r="T146" s="687">
        <f t="shared" si="4"/>
        <v>0</v>
      </c>
      <c r="U146" s="687">
        <f t="shared" si="5"/>
        <v>0</v>
      </c>
      <c r="V146" s="27"/>
      <c r="AC146" s="451"/>
    </row>
    <row r="147" spans="1:29" ht="12.75">
      <c r="A147" s="12"/>
      <c r="B147" s="448" t="s">
        <v>81</v>
      </c>
      <c r="C147" s="738"/>
      <c r="D147" s="743"/>
      <c r="E147" s="741">
        <f t="shared" si="1"/>
        <v>0</v>
      </c>
      <c r="F147" s="714">
        <v>0</v>
      </c>
      <c r="G147" s="27"/>
      <c r="H147" s="714">
        <v>0</v>
      </c>
      <c r="I147" s="696">
        <f t="shared" si="2"/>
        <v>0</v>
      </c>
      <c r="J147" s="449"/>
      <c r="K147" s="721"/>
      <c r="L147" s="714">
        <v>0</v>
      </c>
      <c r="M147" s="226"/>
      <c r="N147" s="721"/>
      <c r="O147" s="721"/>
      <c r="P147" s="450"/>
      <c r="Q147" s="708">
        <f t="shared" si="3"/>
        <v>0</v>
      </c>
      <c r="R147" s="12"/>
      <c r="S147" s="19"/>
      <c r="T147" s="687">
        <f t="shared" si="4"/>
        <v>0</v>
      </c>
      <c r="U147" s="687">
        <f t="shared" si="5"/>
        <v>0</v>
      </c>
      <c r="V147" s="27"/>
      <c r="AC147" s="451"/>
    </row>
    <row r="148" spans="1:29" ht="12.75">
      <c r="A148" s="12"/>
      <c r="B148" s="448" t="s">
        <v>82</v>
      </c>
      <c r="C148" s="738"/>
      <c r="D148" s="743"/>
      <c r="E148" s="741">
        <f t="shared" si="1"/>
        <v>0</v>
      </c>
      <c r="F148" s="714">
        <v>0</v>
      </c>
      <c r="G148" s="27"/>
      <c r="H148" s="714">
        <v>0</v>
      </c>
      <c r="I148" s="696">
        <f t="shared" si="2"/>
        <v>0</v>
      </c>
      <c r="J148" s="449"/>
      <c r="K148" s="721"/>
      <c r="L148" s="714">
        <v>0</v>
      </c>
      <c r="M148" s="226"/>
      <c r="N148" s="721"/>
      <c r="O148" s="721"/>
      <c r="P148" s="450"/>
      <c r="Q148" s="708">
        <f t="shared" si="3"/>
        <v>0</v>
      </c>
      <c r="R148" s="12"/>
      <c r="S148" s="19"/>
      <c r="T148" s="687">
        <f t="shared" si="4"/>
        <v>0</v>
      </c>
      <c r="U148" s="687">
        <f t="shared" si="5"/>
        <v>0</v>
      </c>
      <c r="V148" s="27"/>
      <c r="AC148" s="451"/>
    </row>
    <row r="149" spans="1:29" ht="12.75">
      <c r="A149" s="12"/>
      <c r="B149" s="448" t="s">
        <v>83</v>
      </c>
      <c r="C149" s="738"/>
      <c r="D149" s="743"/>
      <c r="E149" s="741">
        <f t="shared" si="1"/>
        <v>0</v>
      </c>
      <c r="F149" s="714">
        <v>0</v>
      </c>
      <c r="G149" s="27"/>
      <c r="H149" s="714">
        <v>0</v>
      </c>
      <c r="I149" s="696">
        <f t="shared" si="2"/>
        <v>0</v>
      </c>
      <c r="J149" s="449"/>
      <c r="K149" s="721"/>
      <c r="L149" s="714">
        <v>0</v>
      </c>
      <c r="M149" s="226"/>
      <c r="N149" s="721"/>
      <c r="O149" s="721"/>
      <c r="P149" s="450"/>
      <c r="Q149" s="708">
        <f t="shared" si="3"/>
        <v>0</v>
      </c>
      <c r="R149" s="12"/>
      <c r="S149" s="19"/>
      <c r="T149" s="687">
        <f t="shared" si="4"/>
        <v>0</v>
      </c>
      <c r="U149" s="687">
        <f t="shared" si="5"/>
        <v>0</v>
      </c>
      <c r="V149" s="27"/>
      <c r="AC149" s="451"/>
    </row>
    <row r="150" spans="1:29" ht="12.75">
      <c r="A150" s="12"/>
      <c r="B150" s="448" t="s">
        <v>84</v>
      </c>
      <c r="C150" s="738"/>
      <c r="D150" s="743"/>
      <c r="E150" s="741">
        <f t="shared" si="1"/>
        <v>0</v>
      </c>
      <c r="F150" s="714">
        <v>0</v>
      </c>
      <c r="G150" s="27"/>
      <c r="H150" s="714">
        <v>0</v>
      </c>
      <c r="I150" s="696">
        <f t="shared" si="2"/>
        <v>0</v>
      </c>
      <c r="J150" s="449"/>
      <c r="K150" s="721"/>
      <c r="L150" s="714">
        <v>0</v>
      </c>
      <c r="M150" s="226"/>
      <c r="N150" s="721"/>
      <c r="O150" s="721"/>
      <c r="P150" s="450"/>
      <c r="Q150" s="708">
        <f t="shared" si="3"/>
        <v>0</v>
      </c>
      <c r="R150" s="12"/>
      <c r="S150" s="19"/>
      <c r="T150" s="687">
        <f t="shared" si="4"/>
        <v>0</v>
      </c>
      <c r="U150" s="687">
        <f t="shared" si="5"/>
        <v>0</v>
      </c>
      <c r="V150" s="27"/>
      <c r="AC150" s="451"/>
    </row>
    <row r="151" spans="1:29" ht="12.75">
      <c r="A151" s="12"/>
      <c r="B151" s="448" t="s">
        <v>85</v>
      </c>
      <c r="C151" s="738"/>
      <c r="D151" s="743"/>
      <c r="E151" s="741">
        <f t="shared" si="1"/>
        <v>0</v>
      </c>
      <c r="F151" s="714">
        <v>0</v>
      </c>
      <c r="G151" s="27"/>
      <c r="H151" s="714">
        <v>0</v>
      </c>
      <c r="I151" s="696">
        <f t="shared" si="2"/>
        <v>0</v>
      </c>
      <c r="J151" s="449"/>
      <c r="K151" s="721"/>
      <c r="L151" s="714">
        <v>0</v>
      </c>
      <c r="M151" s="226"/>
      <c r="N151" s="721"/>
      <c r="O151" s="721"/>
      <c r="P151" s="450"/>
      <c r="Q151" s="708">
        <f t="shared" si="3"/>
        <v>0</v>
      </c>
      <c r="R151" s="12"/>
      <c r="S151" s="19"/>
      <c r="T151" s="687">
        <f t="shared" si="4"/>
        <v>0</v>
      </c>
      <c r="U151" s="687">
        <f t="shared" si="5"/>
        <v>0</v>
      </c>
      <c r="V151" s="27"/>
      <c r="AC151" s="451"/>
    </row>
    <row r="152" spans="1:29" ht="12.75">
      <c r="A152" s="107"/>
      <c r="B152" s="448" t="s">
        <v>86</v>
      </c>
      <c r="C152" s="738"/>
      <c r="D152" s="743"/>
      <c r="E152" s="741">
        <f t="shared" si="1"/>
        <v>0</v>
      </c>
      <c r="F152" s="714">
        <v>0</v>
      </c>
      <c r="G152" s="27"/>
      <c r="H152" s="714">
        <v>0</v>
      </c>
      <c r="I152" s="696">
        <f t="shared" si="2"/>
        <v>0</v>
      </c>
      <c r="J152" s="449"/>
      <c r="K152" s="721"/>
      <c r="L152" s="714">
        <v>0</v>
      </c>
      <c r="M152" s="226"/>
      <c r="N152" s="721"/>
      <c r="O152" s="721"/>
      <c r="P152" s="450"/>
      <c r="Q152" s="708">
        <f t="shared" si="3"/>
        <v>0</v>
      </c>
      <c r="R152" s="12"/>
      <c r="S152" s="19"/>
      <c r="T152" s="687">
        <f t="shared" si="4"/>
        <v>0</v>
      </c>
      <c r="U152" s="687">
        <f t="shared" si="5"/>
        <v>0</v>
      </c>
      <c r="V152" s="27"/>
      <c r="AC152" s="451"/>
    </row>
    <row r="153" spans="1:29" ht="12.75">
      <c r="A153" s="12"/>
      <c r="B153" s="448" t="s">
        <v>87</v>
      </c>
      <c r="C153" s="738"/>
      <c r="D153" s="743"/>
      <c r="E153" s="741">
        <f t="shared" si="1"/>
        <v>0</v>
      </c>
      <c r="F153" s="714">
        <v>0</v>
      </c>
      <c r="G153" s="27"/>
      <c r="H153" s="714">
        <v>0</v>
      </c>
      <c r="I153" s="696">
        <f t="shared" si="2"/>
        <v>0</v>
      </c>
      <c r="J153" s="449"/>
      <c r="K153" s="721"/>
      <c r="L153" s="714">
        <v>0</v>
      </c>
      <c r="M153" s="226"/>
      <c r="N153" s="721"/>
      <c r="O153" s="721"/>
      <c r="P153" s="450"/>
      <c r="Q153" s="708">
        <f t="shared" si="3"/>
        <v>0</v>
      </c>
      <c r="R153" s="12"/>
      <c r="S153" s="19"/>
      <c r="T153" s="687">
        <f t="shared" si="4"/>
        <v>0</v>
      </c>
      <c r="U153" s="687">
        <f t="shared" si="5"/>
        <v>0</v>
      </c>
      <c r="V153" s="27"/>
      <c r="AC153" s="451"/>
    </row>
    <row r="154" spans="1:29" ht="12.75">
      <c r="A154" s="12"/>
      <c r="B154" s="448" t="s">
        <v>88</v>
      </c>
      <c r="C154" s="738"/>
      <c r="D154" s="743"/>
      <c r="E154" s="741">
        <f t="shared" si="1"/>
        <v>0</v>
      </c>
      <c r="F154" s="714">
        <v>0</v>
      </c>
      <c r="G154" s="27"/>
      <c r="H154" s="714">
        <v>0</v>
      </c>
      <c r="I154" s="696">
        <f t="shared" si="2"/>
        <v>0</v>
      </c>
      <c r="J154" s="449"/>
      <c r="K154" s="721"/>
      <c r="L154" s="714">
        <v>0</v>
      </c>
      <c r="M154" s="226"/>
      <c r="N154" s="721"/>
      <c r="O154" s="721"/>
      <c r="P154" s="450"/>
      <c r="Q154" s="708">
        <f t="shared" si="3"/>
        <v>0</v>
      </c>
      <c r="R154" s="12"/>
      <c r="S154" s="19"/>
      <c r="T154" s="687">
        <f t="shared" si="4"/>
        <v>0</v>
      </c>
      <c r="U154" s="687">
        <f t="shared" si="5"/>
        <v>0</v>
      </c>
      <c r="V154" s="27"/>
      <c r="AC154" s="451"/>
    </row>
    <row r="155" spans="1:29" ht="12.75">
      <c r="A155" s="12"/>
      <c r="B155" s="448" t="s">
        <v>89</v>
      </c>
      <c r="C155" s="738"/>
      <c r="D155" s="743"/>
      <c r="E155" s="741">
        <f t="shared" si="1"/>
        <v>0</v>
      </c>
      <c r="F155" s="714">
        <v>0</v>
      </c>
      <c r="G155" s="27"/>
      <c r="H155" s="714">
        <v>0</v>
      </c>
      <c r="I155" s="696">
        <f t="shared" si="2"/>
        <v>0</v>
      </c>
      <c r="J155" s="449"/>
      <c r="K155" s="721"/>
      <c r="L155" s="714">
        <v>0</v>
      </c>
      <c r="M155" s="226"/>
      <c r="N155" s="721"/>
      <c r="O155" s="721"/>
      <c r="P155" s="450"/>
      <c r="Q155" s="708">
        <f t="shared" si="3"/>
        <v>0</v>
      </c>
      <c r="R155" s="12"/>
      <c r="S155" s="19"/>
      <c r="T155" s="687">
        <f t="shared" si="4"/>
        <v>0</v>
      </c>
      <c r="U155" s="687">
        <f t="shared" si="5"/>
        <v>0</v>
      </c>
      <c r="V155" s="27"/>
      <c r="AC155" s="451"/>
    </row>
    <row r="156" spans="1:29" ht="12.75">
      <c r="A156" s="12"/>
      <c r="B156" s="448" t="s">
        <v>90</v>
      </c>
      <c r="C156" s="738"/>
      <c r="D156" s="743"/>
      <c r="E156" s="741">
        <f t="shared" si="1"/>
        <v>0</v>
      </c>
      <c r="F156" s="714">
        <v>0</v>
      </c>
      <c r="G156" s="27"/>
      <c r="H156" s="714">
        <v>0</v>
      </c>
      <c r="I156" s="696">
        <f t="shared" si="2"/>
        <v>0</v>
      </c>
      <c r="J156" s="449"/>
      <c r="K156" s="721"/>
      <c r="L156" s="714">
        <v>0</v>
      </c>
      <c r="M156" s="226"/>
      <c r="N156" s="721"/>
      <c r="O156" s="721"/>
      <c r="P156" s="450"/>
      <c r="Q156" s="708">
        <f t="shared" si="3"/>
        <v>0</v>
      </c>
      <c r="R156" s="12"/>
      <c r="S156" s="19"/>
      <c r="T156" s="687">
        <f t="shared" si="4"/>
        <v>0</v>
      </c>
      <c r="U156" s="687">
        <f t="shared" si="5"/>
        <v>0</v>
      </c>
      <c r="V156" s="27"/>
      <c r="AC156" s="451"/>
    </row>
    <row r="157" spans="1:29" ht="13.5" thickBot="1">
      <c r="A157" s="12"/>
      <c r="B157" s="448" t="s">
        <v>91</v>
      </c>
      <c r="C157" s="744"/>
      <c r="D157" s="745"/>
      <c r="E157" s="746">
        <f t="shared" si="1"/>
        <v>0</v>
      </c>
      <c r="F157" s="715">
        <v>0</v>
      </c>
      <c r="G157" s="27"/>
      <c r="H157" s="715">
        <v>0</v>
      </c>
      <c r="I157" s="707">
        <f t="shared" si="2"/>
        <v>0</v>
      </c>
      <c r="J157" s="449"/>
      <c r="K157" s="722"/>
      <c r="L157" s="715">
        <v>0</v>
      </c>
      <c r="M157" s="226"/>
      <c r="N157" s="722"/>
      <c r="O157" s="722"/>
      <c r="P157" s="450"/>
      <c r="Q157" s="708">
        <f t="shared" si="3"/>
        <v>0</v>
      </c>
      <c r="R157" s="12"/>
      <c r="S157" s="19"/>
      <c r="T157" s="687">
        <f t="shared" si="4"/>
        <v>0</v>
      </c>
      <c r="U157" s="687">
        <f t="shared" si="5"/>
        <v>0</v>
      </c>
      <c r="V157" s="27"/>
      <c r="AC157" s="451"/>
    </row>
    <row r="158" spans="1:22" ht="12.75">
      <c r="A158" s="12"/>
      <c r="B158" s="108" t="s">
        <v>139</v>
      </c>
      <c r="C158" s="110">
        <f>SUM(C134:C157)</f>
        <v>0</v>
      </c>
      <c r="D158" s="110">
        <f>SUM(D134:D157)</f>
        <v>0</v>
      </c>
      <c r="E158" s="683">
        <f>SUM(E134:E157)</f>
        <v>0</v>
      </c>
      <c r="F158" s="110">
        <f>SUM(F134:F157)</f>
        <v>0</v>
      </c>
      <c r="G158" s="27"/>
      <c r="H158" s="110"/>
      <c r="I158" s="705"/>
      <c r="J158" s="226"/>
      <c r="K158" s="705"/>
      <c r="L158" s="110">
        <f>SUM(L134:L157)</f>
        <v>0</v>
      </c>
      <c r="M158" s="226"/>
      <c r="N158" s="110"/>
      <c r="O158" s="705"/>
      <c r="P158" s="27"/>
      <c r="Q158" s="125"/>
      <c r="R158" s="310" t="s">
        <v>140</v>
      </c>
      <c r="S158" s="487"/>
      <c r="T158" s="748">
        <f>U190/(E158+0.00001)</f>
        <v>0</v>
      </c>
      <c r="U158" s="748">
        <f>T190/(F158+0.00001)</f>
        <v>0</v>
      </c>
      <c r="V158" s="27"/>
    </row>
    <row r="159" spans="1:22" ht="12.75">
      <c r="A159" s="12"/>
      <c r="B159" s="112" t="s">
        <v>141</v>
      </c>
      <c r="C159" s="127">
        <f aca="true" t="shared" si="6" ref="C159:O159">MAX(C134:C157)</f>
        <v>0</v>
      </c>
      <c r="D159" s="127">
        <f t="shared" si="6"/>
        <v>0</v>
      </c>
      <c r="E159" s="128">
        <f t="shared" si="6"/>
        <v>0</v>
      </c>
      <c r="F159" s="747">
        <f t="shared" si="6"/>
        <v>0</v>
      </c>
      <c r="G159" s="27">
        <f t="shared" si="6"/>
        <v>10.79</v>
      </c>
      <c r="H159" s="114">
        <f t="shared" si="6"/>
        <v>0</v>
      </c>
      <c r="I159" s="708">
        <f t="shared" si="6"/>
        <v>0</v>
      </c>
      <c r="J159" s="226">
        <f t="shared" si="6"/>
        <v>0</v>
      </c>
      <c r="K159" s="708">
        <f t="shared" si="6"/>
        <v>0</v>
      </c>
      <c r="L159" s="114">
        <f t="shared" si="6"/>
        <v>0</v>
      </c>
      <c r="M159" s="226">
        <f t="shared" si="6"/>
        <v>0</v>
      </c>
      <c r="N159" s="708">
        <f t="shared" si="6"/>
        <v>0</v>
      </c>
      <c r="O159" s="708">
        <f t="shared" si="6"/>
        <v>0</v>
      </c>
      <c r="P159" s="27"/>
      <c r="Q159" s="130">
        <f>MAX(Q134:Q157)</f>
        <v>0</v>
      </c>
      <c r="R159" s="311" t="s">
        <v>141</v>
      </c>
      <c r="S159" s="488"/>
      <c r="T159" s="639">
        <f>MAX(T134:T157)</f>
        <v>0</v>
      </c>
      <c r="U159" s="639">
        <f>MAX(U134:U158)</f>
        <v>0</v>
      </c>
      <c r="V159" s="27"/>
    </row>
    <row r="160" spans="1:22" ht="13.5" thickBot="1">
      <c r="A160" s="12"/>
      <c r="B160" s="115" t="s">
        <v>142</v>
      </c>
      <c r="C160" s="131">
        <f aca="true" t="shared" si="7" ref="C160:O160">MIN(C134:C157)</f>
        <v>0</v>
      </c>
      <c r="D160" s="131">
        <f t="shared" si="7"/>
        <v>0</v>
      </c>
      <c r="E160" s="132">
        <f t="shared" si="7"/>
        <v>0</v>
      </c>
      <c r="F160" s="117">
        <f t="shared" si="7"/>
        <v>0</v>
      </c>
      <c r="G160" s="27">
        <f t="shared" si="7"/>
        <v>0.1</v>
      </c>
      <c r="H160" s="117">
        <f t="shared" si="7"/>
        <v>0</v>
      </c>
      <c r="I160" s="709">
        <f t="shared" si="7"/>
        <v>0</v>
      </c>
      <c r="J160" s="226">
        <f t="shared" si="7"/>
        <v>0</v>
      </c>
      <c r="K160" s="709">
        <f t="shared" si="7"/>
        <v>0</v>
      </c>
      <c r="L160" s="117">
        <f t="shared" si="7"/>
        <v>0</v>
      </c>
      <c r="M160" s="226">
        <f t="shared" si="7"/>
        <v>0</v>
      </c>
      <c r="N160" s="117">
        <f t="shared" si="7"/>
        <v>0</v>
      </c>
      <c r="O160" s="709">
        <f t="shared" si="7"/>
        <v>0</v>
      </c>
      <c r="P160" s="27"/>
      <c r="Q160" s="133">
        <f>MIN(Q134:Q157)</f>
        <v>0</v>
      </c>
      <c r="R160" s="312" t="s">
        <v>142</v>
      </c>
      <c r="S160" s="489"/>
      <c r="T160" s="702">
        <f>MIN(T134:T157)</f>
        <v>0</v>
      </c>
      <c r="U160" s="702">
        <f>MIN(U134:U157)</f>
        <v>0</v>
      </c>
      <c r="V160" s="27"/>
    </row>
    <row r="161" spans="1:22" ht="24" customHeight="1" thickBot="1">
      <c r="A161" s="12"/>
      <c r="B161" s="1"/>
      <c r="C161" s="1"/>
      <c r="D161" s="1"/>
      <c r="E161" s="1"/>
      <c r="F161" s="1"/>
      <c r="G161" s="1"/>
      <c r="H161" s="1"/>
      <c r="I161" s="1"/>
      <c r="J161" s="1"/>
      <c r="K161" s="1"/>
      <c r="L161" s="1"/>
      <c r="M161" s="1"/>
      <c r="N161" s="1"/>
      <c r="O161" s="1"/>
      <c r="P161" s="1"/>
      <c r="Q161" s="1"/>
      <c r="R161" s="1"/>
      <c r="T161" s="14"/>
      <c r="U161" s="14"/>
      <c r="V161" s="19"/>
    </row>
    <row r="162" spans="1:22" ht="12.75">
      <c r="A162" s="12"/>
      <c r="B162" s="98" t="s">
        <v>63</v>
      </c>
      <c r="C162" s="684" t="s">
        <v>143</v>
      </c>
      <c r="D162" s="684" t="s">
        <v>143</v>
      </c>
      <c r="E162" s="684" t="s">
        <v>144</v>
      </c>
      <c r="F162" s="684" t="s">
        <v>144</v>
      </c>
      <c r="G162" s="27"/>
      <c r="H162" s="684" t="s">
        <v>145</v>
      </c>
      <c r="I162" s="684" t="s">
        <v>145</v>
      </c>
      <c r="J162" s="27"/>
      <c r="K162" s="684" t="s">
        <v>123</v>
      </c>
      <c r="L162" s="684" t="s">
        <v>145</v>
      </c>
      <c r="M162" s="102"/>
      <c r="N162" s="684" t="s">
        <v>145</v>
      </c>
      <c r="O162" s="684" t="s">
        <v>131</v>
      </c>
      <c r="P162" s="27"/>
      <c r="Q162" s="684" t="s">
        <v>131</v>
      </c>
      <c r="R162" s="684" t="s">
        <v>145</v>
      </c>
      <c r="S162" s="27"/>
      <c r="T162" s="684" t="s">
        <v>131</v>
      </c>
      <c r="U162" s="684" t="s">
        <v>146</v>
      </c>
      <c r="V162" s="27"/>
    </row>
    <row r="163" spans="1:22" ht="12.75">
      <c r="A163" s="12"/>
      <c r="B163" s="100"/>
      <c r="C163" s="685" t="s">
        <v>13</v>
      </c>
      <c r="D163" s="685" t="s">
        <v>14</v>
      </c>
      <c r="E163" s="685" t="s">
        <v>13</v>
      </c>
      <c r="F163" s="685" t="s">
        <v>14</v>
      </c>
      <c r="G163" s="27"/>
      <c r="H163" s="685" t="s">
        <v>147</v>
      </c>
      <c r="I163" s="685" t="s">
        <v>147</v>
      </c>
      <c r="J163" s="27"/>
      <c r="K163" s="685" t="s">
        <v>63</v>
      </c>
      <c r="L163" s="685" t="s">
        <v>148</v>
      </c>
      <c r="M163" s="102"/>
      <c r="N163" s="685" t="s">
        <v>148</v>
      </c>
      <c r="O163" s="685" t="s">
        <v>148</v>
      </c>
      <c r="P163" s="27"/>
      <c r="Q163" s="685" t="s">
        <v>148</v>
      </c>
      <c r="R163" s="685" t="s">
        <v>148</v>
      </c>
      <c r="S163" s="27"/>
      <c r="T163" s="685" t="s">
        <v>148</v>
      </c>
      <c r="U163" s="685" t="s">
        <v>148</v>
      </c>
      <c r="V163" s="27"/>
    </row>
    <row r="164" spans="1:22" ht="12.75">
      <c r="A164" s="12"/>
      <c r="B164" s="100"/>
      <c r="C164" s="685"/>
      <c r="D164" s="685"/>
      <c r="E164" s="685"/>
      <c r="F164" s="685"/>
      <c r="G164" s="27"/>
      <c r="H164" s="685" t="s">
        <v>13</v>
      </c>
      <c r="I164" s="685" t="s">
        <v>14</v>
      </c>
      <c r="J164" s="27"/>
      <c r="K164" s="685" t="s">
        <v>145</v>
      </c>
      <c r="L164" s="685" t="s">
        <v>13</v>
      </c>
      <c r="M164" s="102"/>
      <c r="N164" s="685" t="s">
        <v>14</v>
      </c>
      <c r="O164" s="685" t="s">
        <v>13</v>
      </c>
      <c r="P164" s="27"/>
      <c r="Q164" s="685" t="s">
        <v>14</v>
      </c>
      <c r="R164" s="685"/>
      <c r="S164" s="27"/>
      <c r="T164" s="685"/>
      <c r="U164" s="685"/>
      <c r="V164" s="27"/>
    </row>
    <row r="165" spans="1:22" s="678" customFormat="1" ht="13.5" thickBot="1">
      <c r="A165" s="674"/>
      <c r="B165" s="675" t="s">
        <v>67</v>
      </c>
      <c r="C165" s="686" t="s">
        <v>135</v>
      </c>
      <c r="D165" s="686" t="s">
        <v>135</v>
      </c>
      <c r="E165" s="686" t="s">
        <v>135</v>
      </c>
      <c r="F165" s="686" t="s">
        <v>135</v>
      </c>
      <c r="G165" s="682"/>
      <c r="H165" s="686" t="s">
        <v>68</v>
      </c>
      <c r="I165" s="686" t="s">
        <v>68</v>
      </c>
      <c r="J165" s="682"/>
      <c r="K165" s="686" t="s">
        <v>68</v>
      </c>
      <c r="L165" s="686" t="s">
        <v>149</v>
      </c>
      <c r="M165" s="681"/>
      <c r="N165" s="686" t="s">
        <v>149</v>
      </c>
      <c r="O165" s="686" t="s">
        <v>149</v>
      </c>
      <c r="P165" s="682"/>
      <c r="Q165" s="686" t="s">
        <v>149</v>
      </c>
      <c r="R165" s="686" t="s">
        <v>149</v>
      </c>
      <c r="S165" s="682"/>
      <c r="T165" s="686" t="s">
        <v>149</v>
      </c>
      <c r="U165" s="686" t="s">
        <v>149</v>
      </c>
      <c r="V165" s="682"/>
    </row>
    <row r="166" spans="1:22" ht="12.75">
      <c r="A166" s="12"/>
      <c r="B166" s="242">
        <f aca="true" t="shared" si="8" ref="B166:B189">IF(B134="","",B134)</f>
        <v>0</v>
      </c>
      <c r="C166" s="712">
        <v>0</v>
      </c>
      <c r="D166" s="712">
        <v>0</v>
      </c>
      <c r="E166" s="712">
        <v>0</v>
      </c>
      <c r="F166" s="712">
        <v>0</v>
      </c>
      <c r="G166" s="27"/>
      <c r="H166" s="114">
        <f aca="true" t="shared" si="9" ref="H166:I189">E166+C166</f>
        <v>0</v>
      </c>
      <c r="I166" s="110">
        <f t="shared" si="9"/>
        <v>0</v>
      </c>
      <c r="J166" s="27"/>
      <c r="K166" s="712">
        <v>0</v>
      </c>
      <c r="L166" s="713">
        <f aca="true" t="shared" si="10" ref="L166:L189">($H$128*E166)+(E$102*C166)</f>
        <v>0</v>
      </c>
      <c r="M166" s="226"/>
      <c r="N166" s="713">
        <f aca="true" t="shared" si="11" ref="N166:N189">($I$128*F166)+(F$102*D166)</f>
        <v>0</v>
      </c>
      <c r="O166" s="713">
        <f aca="true" t="shared" si="12" ref="O166:O189">($E134*$E$99-H166)*($H$127+IF($O134&gt;0,($H$107-$H$108),0)*$E$101+$Q134*$E$100/60)</f>
        <v>0</v>
      </c>
      <c r="P166" s="27"/>
      <c r="Q166" s="713">
        <f aca="true" t="shared" si="13" ref="Q166:Q189">($E134*$F$99-I166)*($I$127+IF($O134&gt;0,($H$107-$H$108),0)*$F$101+$Q134*$F$100/60)</f>
        <v>0</v>
      </c>
      <c r="R166" s="713">
        <f aca="true" t="shared" si="14" ref="R166:R189">L166+N166</f>
        <v>0</v>
      </c>
      <c r="S166" s="27"/>
      <c r="T166" s="713">
        <f aca="true" t="shared" si="15" ref="T166:T189">O166+Q166</f>
        <v>0</v>
      </c>
      <c r="U166" s="713">
        <f aca="true" t="shared" si="16" ref="U166:U189">R166+T166</f>
        <v>0</v>
      </c>
      <c r="V166" s="27"/>
    </row>
    <row r="167" spans="1:22" ht="12.75">
      <c r="A167" s="12"/>
      <c r="B167" s="242" t="str">
        <f t="shared" si="8"/>
        <v>1 A</v>
      </c>
      <c r="C167" s="714">
        <v>0</v>
      </c>
      <c r="D167" s="714">
        <v>0</v>
      </c>
      <c r="E167" s="714">
        <v>0</v>
      </c>
      <c r="F167" s="714">
        <v>0</v>
      </c>
      <c r="G167" s="27"/>
      <c r="H167" s="114">
        <f t="shared" si="9"/>
        <v>0</v>
      </c>
      <c r="I167" s="695">
        <f t="shared" si="9"/>
        <v>0</v>
      </c>
      <c r="J167" s="27"/>
      <c r="K167" s="714">
        <v>0</v>
      </c>
      <c r="L167" s="713">
        <f t="shared" si="10"/>
        <v>0</v>
      </c>
      <c r="M167" s="226"/>
      <c r="N167" s="713">
        <f t="shared" si="11"/>
        <v>0</v>
      </c>
      <c r="O167" s="713">
        <f t="shared" si="12"/>
        <v>0</v>
      </c>
      <c r="P167" s="27"/>
      <c r="Q167" s="713">
        <f t="shared" si="13"/>
        <v>0</v>
      </c>
      <c r="R167" s="713">
        <f t="shared" si="14"/>
        <v>0</v>
      </c>
      <c r="S167" s="27"/>
      <c r="T167" s="713">
        <f t="shared" si="15"/>
        <v>0</v>
      </c>
      <c r="U167" s="713">
        <f t="shared" si="16"/>
        <v>0</v>
      </c>
      <c r="V167" s="27"/>
    </row>
    <row r="168" spans="1:22" ht="12.75">
      <c r="A168" s="12"/>
      <c r="B168" s="242" t="str">
        <f t="shared" si="8"/>
        <v>2 A</v>
      </c>
      <c r="C168" s="714">
        <v>0</v>
      </c>
      <c r="D168" s="714">
        <v>0</v>
      </c>
      <c r="E168" s="714">
        <v>0</v>
      </c>
      <c r="F168" s="714">
        <v>0</v>
      </c>
      <c r="G168" s="27"/>
      <c r="H168" s="114">
        <f t="shared" si="9"/>
        <v>0</v>
      </c>
      <c r="I168" s="695">
        <f t="shared" si="9"/>
        <v>0</v>
      </c>
      <c r="J168" s="27"/>
      <c r="K168" s="714">
        <v>0</v>
      </c>
      <c r="L168" s="713">
        <f t="shared" si="10"/>
        <v>0</v>
      </c>
      <c r="M168" s="226"/>
      <c r="N168" s="713">
        <f t="shared" si="11"/>
        <v>0</v>
      </c>
      <c r="O168" s="713">
        <f t="shared" si="12"/>
        <v>0</v>
      </c>
      <c r="P168" s="27"/>
      <c r="Q168" s="713">
        <f t="shared" si="13"/>
        <v>0</v>
      </c>
      <c r="R168" s="713">
        <f t="shared" si="14"/>
        <v>0</v>
      </c>
      <c r="S168" s="27"/>
      <c r="T168" s="713">
        <f t="shared" si="15"/>
        <v>0</v>
      </c>
      <c r="U168" s="713">
        <f t="shared" si="16"/>
        <v>0</v>
      </c>
      <c r="V168" s="27"/>
    </row>
    <row r="169" spans="1:22" ht="12.75">
      <c r="A169" s="12"/>
      <c r="B169" s="242" t="str">
        <f t="shared" si="8"/>
        <v>3 A</v>
      </c>
      <c r="C169" s="714">
        <v>0</v>
      </c>
      <c r="D169" s="714">
        <v>0</v>
      </c>
      <c r="E169" s="714">
        <v>0</v>
      </c>
      <c r="F169" s="714">
        <v>0</v>
      </c>
      <c r="G169" s="27"/>
      <c r="H169" s="114">
        <f t="shared" si="9"/>
        <v>0</v>
      </c>
      <c r="I169" s="695">
        <f t="shared" si="9"/>
        <v>0</v>
      </c>
      <c r="J169" s="27"/>
      <c r="K169" s="714">
        <v>0</v>
      </c>
      <c r="L169" s="713">
        <f t="shared" si="10"/>
        <v>0</v>
      </c>
      <c r="M169" s="226"/>
      <c r="N169" s="713">
        <f t="shared" si="11"/>
        <v>0</v>
      </c>
      <c r="O169" s="713">
        <f t="shared" si="12"/>
        <v>0</v>
      </c>
      <c r="P169" s="27"/>
      <c r="Q169" s="713">
        <f t="shared" si="13"/>
        <v>0</v>
      </c>
      <c r="R169" s="713">
        <f t="shared" si="14"/>
        <v>0</v>
      </c>
      <c r="S169" s="27"/>
      <c r="T169" s="713">
        <f t="shared" si="15"/>
        <v>0</v>
      </c>
      <c r="U169" s="713">
        <f t="shared" si="16"/>
        <v>0</v>
      </c>
      <c r="V169" s="27"/>
    </row>
    <row r="170" spans="1:22" ht="12.75">
      <c r="A170" s="12"/>
      <c r="B170" s="242" t="str">
        <f t="shared" si="8"/>
        <v>4 A</v>
      </c>
      <c r="C170" s="714">
        <v>0</v>
      </c>
      <c r="D170" s="714">
        <v>0</v>
      </c>
      <c r="E170" s="714">
        <v>0</v>
      </c>
      <c r="F170" s="714">
        <v>0</v>
      </c>
      <c r="G170" s="27"/>
      <c r="H170" s="114">
        <f t="shared" si="9"/>
        <v>0</v>
      </c>
      <c r="I170" s="695">
        <f t="shared" si="9"/>
        <v>0</v>
      </c>
      <c r="J170" s="27"/>
      <c r="K170" s="714">
        <v>0</v>
      </c>
      <c r="L170" s="713">
        <f t="shared" si="10"/>
        <v>0</v>
      </c>
      <c r="M170" s="226"/>
      <c r="N170" s="713">
        <f t="shared" si="11"/>
        <v>0</v>
      </c>
      <c r="O170" s="713">
        <f t="shared" si="12"/>
        <v>0</v>
      </c>
      <c r="P170" s="27"/>
      <c r="Q170" s="713">
        <f t="shared" si="13"/>
        <v>0</v>
      </c>
      <c r="R170" s="713">
        <f t="shared" si="14"/>
        <v>0</v>
      </c>
      <c r="S170" s="27"/>
      <c r="T170" s="713">
        <f t="shared" si="15"/>
        <v>0</v>
      </c>
      <c r="U170" s="713">
        <f t="shared" si="16"/>
        <v>0</v>
      </c>
      <c r="V170" s="27"/>
    </row>
    <row r="171" spans="1:22" ht="12.75">
      <c r="A171" s="12"/>
      <c r="B171" s="242" t="str">
        <f t="shared" si="8"/>
        <v>5 A</v>
      </c>
      <c r="C171" s="714">
        <v>0</v>
      </c>
      <c r="D171" s="714">
        <v>0</v>
      </c>
      <c r="E171" s="714">
        <v>0</v>
      </c>
      <c r="F171" s="714">
        <v>0</v>
      </c>
      <c r="G171" s="27"/>
      <c r="H171" s="114">
        <f t="shared" si="9"/>
        <v>0</v>
      </c>
      <c r="I171" s="695">
        <f t="shared" si="9"/>
        <v>0</v>
      </c>
      <c r="J171" s="27"/>
      <c r="K171" s="714">
        <v>0</v>
      </c>
      <c r="L171" s="713">
        <f t="shared" si="10"/>
        <v>0</v>
      </c>
      <c r="M171" s="226"/>
      <c r="N171" s="713">
        <f t="shared" si="11"/>
        <v>0</v>
      </c>
      <c r="O171" s="713">
        <f t="shared" si="12"/>
        <v>0</v>
      </c>
      <c r="P171" s="27"/>
      <c r="Q171" s="713">
        <f t="shared" si="13"/>
        <v>0</v>
      </c>
      <c r="R171" s="713">
        <f t="shared" si="14"/>
        <v>0</v>
      </c>
      <c r="S171" s="27"/>
      <c r="T171" s="713">
        <f t="shared" si="15"/>
        <v>0</v>
      </c>
      <c r="U171" s="713">
        <f t="shared" si="16"/>
        <v>0</v>
      </c>
      <c r="V171" s="27"/>
    </row>
    <row r="172" spans="1:22" ht="12.75">
      <c r="A172" s="12"/>
      <c r="B172" s="242" t="str">
        <f t="shared" si="8"/>
        <v>6 A</v>
      </c>
      <c r="C172" s="714">
        <v>0</v>
      </c>
      <c r="D172" s="714">
        <v>0</v>
      </c>
      <c r="E172" s="714">
        <v>0</v>
      </c>
      <c r="F172" s="714">
        <v>0</v>
      </c>
      <c r="G172" s="27"/>
      <c r="H172" s="114">
        <f t="shared" si="9"/>
        <v>0</v>
      </c>
      <c r="I172" s="695">
        <f t="shared" si="9"/>
        <v>0</v>
      </c>
      <c r="J172" s="27"/>
      <c r="K172" s="714">
        <v>0</v>
      </c>
      <c r="L172" s="713">
        <f t="shared" si="10"/>
        <v>0</v>
      </c>
      <c r="M172" s="226"/>
      <c r="N172" s="713">
        <f t="shared" si="11"/>
        <v>0</v>
      </c>
      <c r="O172" s="713">
        <f t="shared" si="12"/>
        <v>0</v>
      </c>
      <c r="P172" s="27"/>
      <c r="Q172" s="713">
        <f t="shared" si="13"/>
        <v>0</v>
      </c>
      <c r="R172" s="713">
        <f t="shared" si="14"/>
        <v>0</v>
      </c>
      <c r="S172" s="27"/>
      <c r="T172" s="713">
        <f t="shared" si="15"/>
        <v>0</v>
      </c>
      <c r="U172" s="713">
        <f t="shared" si="16"/>
        <v>0</v>
      </c>
      <c r="V172" s="27"/>
    </row>
    <row r="173" spans="1:22" ht="12.75">
      <c r="A173" s="12"/>
      <c r="B173" s="242" t="str">
        <f t="shared" si="8"/>
        <v>7 A</v>
      </c>
      <c r="C173" s="714">
        <v>0</v>
      </c>
      <c r="D173" s="714">
        <v>0</v>
      </c>
      <c r="E173" s="714">
        <v>0</v>
      </c>
      <c r="F173" s="714">
        <v>0</v>
      </c>
      <c r="G173" s="27"/>
      <c r="H173" s="114">
        <f t="shared" si="9"/>
        <v>0</v>
      </c>
      <c r="I173" s="695">
        <f t="shared" si="9"/>
        <v>0</v>
      </c>
      <c r="J173" s="27"/>
      <c r="K173" s="714">
        <v>0</v>
      </c>
      <c r="L173" s="713">
        <f t="shared" si="10"/>
        <v>0</v>
      </c>
      <c r="M173" s="226"/>
      <c r="N173" s="713">
        <f t="shared" si="11"/>
        <v>0</v>
      </c>
      <c r="O173" s="713">
        <f t="shared" si="12"/>
        <v>0</v>
      </c>
      <c r="P173" s="27"/>
      <c r="Q173" s="713">
        <f t="shared" si="13"/>
        <v>0</v>
      </c>
      <c r="R173" s="713">
        <f t="shared" si="14"/>
        <v>0</v>
      </c>
      <c r="S173" s="27"/>
      <c r="T173" s="713">
        <f t="shared" si="15"/>
        <v>0</v>
      </c>
      <c r="U173" s="713">
        <f t="shared" si="16"/>
        <v>0</v>
      </c>
      <c r="V173" s="27"/>
    </row>
    <row r="174" spans="1:22" ht="12.75">
      <c r="A174" s="12"/>
      <c r="B174" s="242" t="str">
        <f t="shared" si="8"/>
        <v>8 A</v>
      </c>
      <c r="C174" s="714">
        <v>0</v>
      </c>
      <c r="D174" s="714">
        <v>0</v>
      </c>
      <c r="E174" s="714">
        <v>0</v>
      </c>
      <c r="F174" s="714">
        <v>0</v>
      </c>
      <c r="G174" s="27"/>
      <c r="H174" s="114">
        <f t="shared" si="9"/>
        <v>0</v>
      </c>
      <c r="I174" s="695">
        <f t="shared" si="9"/>
        <v>0</v>
      </c>
      <c r="J174" s="27"/>
      <c r="K174" s="714">
        <v>0</v>
      </c>
      <c r="L174" s="713">
        <f t="shared" si="10"/>
        <v>0</v>
      </c>
      <c r="M174" s="226"/>
      <c r="N174" s="713">
        <f t="shared" si="11"/>
        <v>0</v>
      </c>
      <c r="O174" s="713">
        <f t="shared" si="12"/>
        <v>0</v>
      </c>
      <c r="P174" s="27"/>
      <c r="Q174" s="713">
        <f t="shared" si="13"/>
        <v>0</v>
      </c>
      <c r="R174" s="713">
        <f t="shared" si="14"/>
        <v>0</v>
      </c>
      <c r="S174" s="27"/>
      <c r="T174" s="713">
        <f t="shared" si="15"/>
        <v>0</v>
      </c>
      <c r="U174" s="713">
        <f t="shared" si="16"/>
        <v>0</v>
      </c>
      <c r="V174" s="27"/>
    </row>
    <row r="175" spans="1:22" ht="12.75">
      <c r="A175" s="12"/>
      <c r="B175" s="242" t="str">
        <f t="shared" si="8"/>
        <v>9 A</v>
      </c>
      <c r="C175" s="714">
        <v>0</v>
      </c>
      <c r="D175" s="714">
        <v>0</v>
      </c>
      <c r="E175" s="714">
        <v>0</v>
      </c>
      <c r="F175" s="714">
        <v>0</v>
      </c>
      <c r="G175" s="27"/>
      <c r="H175" s="114">
        <f t="shared" si="9"/>
        <v>0</v>
      </c>
      <c r="I175" s="695">
        <f t="shared" si="9"/>
        <v>0</v>
      </c>
      <c r="J175" s="27"/>
      <c r="K175" s="714">
        <v>0</v>
      </c>
      <c r="L175" s="713">
        <f t="shared" si="10"/>
        <v>0</v>
      </c>
      <c r="M175" s="226"/>
      <c r="N175" s="713">
        <f t="shared" si="11"/>
        <v>0</v>
      </c>
      <c r="O175" s="713">
        <f t="shared" si="12"/>
        <v>0</v>
      </c>
      <c r="P175" s="27"/>
      <c r="Q175" s="713">
        <f t="shared" si="13"/>
        <v>0</v>
      </c>
      <c r="R175" s="713">
        <f t="shared" si="14"/>
        <v>0</v>
      </c>
      <c r="S175" s="27"/>
      <c r="T175" s="713">
        <f t="shared" si="15"/>
        <v>0</v>
      </c>
      <c r="U175" s="713">
        <f t="shared" si="16"/>
        <v>0</v>
      </c>
      <c r="V175" s="27"/>
    </row>
    <row r="176" spans="1:22" ht="12.75">
      <c r="A176" s="12"/>
      <c r="B176" s="242" t="str">
        <f t="shared" si="8"/>
        <v>10 A</v>
      </c>
      <c r="C176" s="714">
        <v>0</v>
      </c>
      <c r="D176" s="714">
        <v>0</v>
      </c>
      <c r="E176" s="714">
        <v>0</v>
      </c>
      <c r="F176" s="714">
        <v>0</v>
      </c>
      <c r="G176" s="27"/>
      <c r="H176" s="114">
        <f t="shared" si="9"/>
        <v>0</v>
      </c>
      <c r="I176" s="695">
        <f t="shared" si="9"/>
        <v>0</v>
      </c>
      <c r="J176" s="27"/>
      <c r="K176" s="714">
        <v>0</v>
      </c>
      <c r="L176" s="713">
        <f t="shared" si="10"/>
        <v>0</v>
      </c>
      <c r="M176" s="226"/>
      <c r="N176" s="713">
        <f t="shared" si="11"/>
        <v>0</v>
      </c>
      <c r="O176" s="713">
        <f t="shared" si="12"/>
        <v>0</v>
      </c>
      <c r="P176" s="27"/>
      <c r="Q176" s="713">
        <f t="shared" si="13"/>
        <v>0</v>
      </c>
      <c r="R176" s="713">
        <f t="shared" si="14"/>
        <v>0</v>
      </c>
      <c r="S176" s="27"/>
      <c r="T176" s="713">
        <f t="shared" si="15"/>
        <v>0</v>
      </c>
      <c r="U176" s="713">
        <f t="shared" si="16"/>
        <v>0</v>
      </c>
      <c r="V176" s="27"/>
    </row>
    <row r="177" spans="1:22" ht="12.75">
      <c r="A177" s="12"/>
      <c r="B177" s="242" t="str">
        <f t="shared" si="8"/>
        <v>11 A</v>
      </c>
      <c r="C177" s="714">
        <v>0</v>
      </c>
      <c r="D177" s="714">
        <v>0</v>
      </c>
      <c r="E177" s="714">
        <v>0</v>
      </c>
      <c r="F177" s="714">
        <v>0</v>
      </c>
      <c r="G177" s="27"/>
      <c r="H177" s="114">
        <f t="shared" si="9"/>
        <v>0</v>
      </c>
      <c r="I177" s="695">
        <f t="shared" si="9"/>
        <v>0</v>
      </c>
      <c r="J177" s="27"/>
      <c r="K177" s="714">
        <v>0</v>
      </c>
      <c r="L177" s="713">
        <f t="shared" si="10"/>
        <v>0</v>
      </c>
      <c r="M177" s="226"/>
      <c r="N177" s="713">
        <f t="shared" si="11"/>
        <v>0</v>
      </c>
      <c r="O177" s="713">
        <f t="shared" si="12"/>
        <v>0</v>
      </c>
      <c r="P177" s="27"/>
      <c r="Q177" s="713">
        <f t="shared" si="13"/>
        <v>0</v>
      </c>
      <c r="R177" s="713">
        <f t="shared" si="14"/>
        <v>0</v>
      </c>
      <c r="S177" s="27"/>
      <c r="T177" s="713">
        <f t="shared" si="15"/>
        <v>0</v>
      </c>
      <c r="U177" s="713">
        <f t="shared" si="16"/>
        <v>0</v>
      </c>
      <c r="V177" s="27"/>
    </row>
    <row r="178" spans="1:22" ht="12.75">
      <c r="A178" s="12"/>
      <c r="B178" s="242" t="str">
        <f t="shared" si="8"/>
        <v>12 P</v>
      </c>
      <c r="C178" s="714">
        <v>0</v>
      </c>
      <c r="D178" s="714">
        <v>0</v>
      </c>
      <c r="E178" s="714">
        <v>0</v>
      </c>
      <c r="F178" s="714">
        <v>0</v>
      </c>
      <c r="G178" s="27"/>
      <c r="H178" s="114">
        <f t="shared" si="9"/>
        <v>0</v>
      </c>
      <c r="I178" s="695">
        <f t="shared" si="9"/>
        <v>0</v>
      </c>
      <c r="J178" s="27"/>
      <c r="K178" s="714">
        <v>0</v>
      </c>
      <c r="L178" s="713">
        <f t="shared" si="10"/>
        <v>0</v>
      </c>
      <c r="M178" s="226"/>
      <c r="N178" s="713">
        <f t="shared" si="11"/>
        <v>0</v>
      </c>
      <c r="O178" s="713">
        <f t="shared" si="12"/>
        <v>0</v>
      </c>
      <c r="P178" s="27"/>
      <c r="Q178" s="713">
        <f t="shared" si="13"/>
        <v>0</v>
      </c>
      <c r="R178" s="713">
        <f t="shared" si="14"/>
        <v>0</v>
      </c>
      <c r="S178" s="27"/>
      <c r="T178" s="713">
        <f t="shared" si="15"/>
        <v>0</v>
      </c>
      <c r="U178" s="713">
        <f t="shared" si="16"/>
        <v>0</v>
      </c>
      <c r="V178" s="27"/>
    </row>
    <row r="179" spans="1:22" ht="12.75">
      <c r="A179" s="12"/>
      <c r="B179" s="242" t="str">
        <f t="shared" si="8"/>
        <v>1 P</v>
      </c>
      <c r="C179" s="714">
        <v>0</v>
      </c>
      <c r="D179" s="714">
        <v>0</v>
      </c>
      <c r="E179" s="714">
        <v>0</v>
      </c>
      <c r="F179" s="714">
        <v>0</v>
      </c>
      <c r="G179" s="27"/>
      <c r="H179" s="114">
        <f t="shared" si="9"/>
        <v>0</v>
      </c>
      <c r="I179" s="695">
        <f t="shared" si="9"/>
        <v>0</v>
      </c>
      <c r="J179" s="27"/>
      <c r="K179" s="714">
        <v>0</v>
      </c>
      <c r="L179" s="713">
        <f t="shared" si="10"/>
        <v>0</v>
      </c>
      <c r="M179" s="226"/>
      <c r="N179" s="713">
        <f t="shared" si="11"/>
        <v>0</v>
      </c>
      <c r="O179" s="713">
        <f t="shared" si="12"/>
        <v>0</v>
      </c>
      <c r="P179" s="27"/>
      <c r="Q179" s="713">
        <f t="shared" si="13"/>
        <v>0</v>
      </c>
      <c r="R179" s="713">
        <f t="shared" si="14"/>
        <v>0</v>
      </c>
      <c r="S179" s="27"/>
      <c r="T179" s="713">
        <f t="shared" si="15"/>
        <v>0</v>
      </c>
      <c r="U179" s="713">
        <f t="shared" si="16"/>
        <v>0</v>
      </c>
      <c r="V179" s="27"/>
    </row>
    <row r="180" spans="1:22" ht="12.75">
      <c r="A180" s="12"/>
      <c r="B180" s="242" t="str">
        <f t="shared" si="8"/>
        <v>2 P</v>
      </c>
      <c r="C180" s="714">
        <v>0</v>
      </c>
      <c r="D180" s="714">
        <v>0</v>
      </c>
      <c r="E180" s="714">
        <v>0</v>
      </c>
      <c r="F180" s="714">
        <v>0</v>
      </c>
      <c r="G180" s="27"/>
      <c r="H180" s="114">
        <f t="shared" si="9"/>
        <v>0</v>
      </c>
      <c r="I180" s="695">
        <f t="shared" si="9"/>
        <v>0</v>
      </c>
      <c r="J180" s="27"/>
      <c r="K180" s="714">
        <v>0</v>
      </c>
      <c r="L180" s="713">
        <f t="shared" si="10"/>
        <v>0</v>
      </c>
      <c r="M180" s="226"/>
      <c r="N180" s="713">
        <f t="shared" si="11"/>
        <v>0</v>
      </c>
      <c r="O180" s="713">
        <f t="shared" si="12"/>
        <v>0</v>
      </c>
      <c r="P180" s="27"/>
      <c r="Q180" s="713">
        <f t="shared" si="13"/>
        <v>0</v>
      </c>
      <c r="R180" s="713">
        <f t="shared" si="14"/>
        <v>0</v>
      </c>
      <c r="S180" s="27"/>
      <c r="T180" s="713">
        <f t="shared" si="15"/>
        <v>0</v>
      </c>
      <c r="U180" s="713">
        <f t="shared" si="16"/>
        <v>0</v>
      </c>
      <c r="V180" s="27"/>
    </row>
    <row r="181" spans="1:22" ht="12.75">
      <c r="A181" s="12"/>
      <c r="B181" s="242" t="str">
        <f t="shared" si="8"/>
        <v>3 P</v>
      </c>
      <c r="C181" s="714">
        <v>0</v>
      </c>
      <c r="D181" s="714">
        <v>0</v>
      </c>
      <c r="E181" s="714">
        <v>0</v>
      </c>
      <c r="F181" s="714">
        <v>0</v>
      </c>
      <c r="G181" s="27"/>
      <c r="H181" s="114">
        <f t="shared" si="9"/>
        <v>0</v>
      </c>
      <c r="I181" s="695">
        <f t="shared" si="9"/>
        <v>0</v>
      </c>
      <c r="J181" s="27"/>
      <c r="K181" s="714">
        <v>0</v>
      </c>
      <c r="L181" s="713">
        <f t="shared" si="10"/>
        <v>0</v>
      </c>
      <c r="M181" s="226"/>
      <c r="N181" s="713">
        <f t="shared" si="11"/>
        <v>0</v>
      </c>
      <c r="O181" s="713">
        <f t="shared" si="12"/>
        <v>0</v>
      </c>
      <c r="P181" s="27"/>
      <c r="Q181" s="713">
        <f t="shared" si="13"/>
        <v>0</v>
      </c>
      <c r="R181" s="713">
        <f t="shared" si="14"/>
        <v>0</v>
      </c>
      <c r="S181" s="27"/>
      <c r="T181" s="713">
        <f t="shared" si="15"/>
        <v>0</v>
      </c>
      <c r="U181" s="713">
        <f t="shared" si="16"/>
        <v>0</v>
      </c>
      <c r="V181" s="27"/>
    </row>
    <row r="182" spans="1:22" ht="12.75">
      <c r="A182" s="12"/>
      <c r="B182" s="242" t="str">
        <f t="shared" si="8"/>
        <v>4 P</v>
      </c>
      <c r="C182" s="714">
        <v>0</v>
      </c>
      <c r="D182" s="714">
        <v>0</v>
      </c>
      <c r="E182" s="714">
        <v>0</v>
      </c>
      <c r="F182" s="714">
        <v>0</v>
      </c>
      <c r="G182" s="27"/>
      <c r="H182" s="114">
        <f t="shared" si="9"/>
        <v>0</v>
      </c>
      <c r="I182" s="695">
        <f t="shared" si="9"/>
        <v>0</v>
      </c>
      <c r="J182" s="27"/>
      <c r="K182" s="714">
        <v>0</v>
      </c>
      <c r="L182" s="713">
        <f t="shared" si="10"/>
        <v>0</v>
      </c>
      <c r="M182" s="226"/>
      <c r="N182" s="713">
        <f t="shared" si="11"/>
        <v>0</v>
      </c>
      <c r="O182" s="713">
        <f t="shared" si="12"/>
        <v>0</v>
      </c>
      <c r="P182" s="27"/>
      <c r="Q182" s="713">
        <f t="shared" si="13"/>
        <v>0</v>
      </c>
      <c r="R182" s="713">
        <f t="shared" si="14"/>
        <v>0</v>
      </c>
      <c r="S182" s="27"/>
      <c r="T182" s="713">
        <f t="shared" si="15"/>
        <v>0</v>
      </c>
      <c r="U182" s="713">
        <f t="shared" si="16"/>
        <v>0</v>
      </c>
      <c r="V182" s="27"/>
    </row>
    <row r="183" spans="1:22" ht="12.75">
      <c r="A183" s="107"/>
      <c r="B183" s="242" t="str">
        <f t="shared" si="8"/>
        <v>5 P</v>
      </c>
      <c r="C183" s="714">
        <v>0</v>
      </c>
      <c r="D183" s="714">
        <v>0</v>
      </c>
      <c r="E183" s="714">
        <v>0</v>
      </c>
      <c r="F183" s="714">
        <v>0</v>
      </c>
      <c r="G183" s="27"/>
      <c r="H183" s="114">
        <f t="shared" si="9"/>
        <v>0</v>
      </c>
      <c r="I183" s="695">
        <f t="shared" si="9"/>
        <v>0</v>
      </c>
      <c r="J183" s="27"/>
      <c r="K183" s="714">
        <v>0</v>
      </c>
      <c r="L183" s="713">
        <f t="shared" si="10"/>
        <v>0</v>
      </c>
      <c r="M183" s="226"/>
      <c r="N183" s="713">
        <f t="shared" si="11"/>
        <v>0</v>
      </c>
      <c r="O183" s="713">
        <f t="shared" si="12"/>
        <v>0</v>
      </c>
      <c r="P183" s="27"/>
      <c r="Q183" s="713">
        <f t="shared" si="13"/>
        <v>0</v>
      </c>
      <c r="R183" s="713">
        <f t="shared" si="14"/>
        <v>0</v>
      </c>
      <c r="S183" s="27"/>
      <c r="T183" s="713">
        <f t="shared" si="15"/>
        <v>0</v>
      </c>
      <c r="U183" s="713">
        <f t="shared" si="16"/>
        <v>0</v>
      </c>
      <c r="V183" s="27"/>
    </row>
    <row r="184" spans="1:22" ht="12.75">
      <c r="A184" s="12"/>
      <c r="B184" s="242" t="str">
        <f t="shared" si="8"/>
        <v>6 P</v>
      </c>
      <c r="C184" s="714">
        <v>0</v>
      </c>
      <c r="D184" s="714">
        <v>0</v>
      </c>
      <c r="E184" s="714">
        <v>0</v>
      </c>
      <c r="F184" s="714">
        <v>0</v>
      </c>
      <c r="G184" s="27"/>
      <c r="H184" s="114">
        <f t="shared" si="9"/>
        <v>0</v>
      </c>
      <c r="I184" s="695">
        <f t="shared" si="9"/>
        <v>0</v>
      </c>
      <c r="J184" s="27"/>
      <c r="K184" s="714">
        <v>0</v>
      </c>
      <c r="L184" s="713">
        <f t="shared" si="10"/>
        <v>0</v>
      </c>
      <c r="M184" s="226"/>
      <c r="N184" s="713">
        <f t="shared" si="11"/>
        <v>0</v>
      </c>
      <c r="O184" s="713">
        <f t="shared" si="12"/>
        <v>0</v>
      </c>
      <c r="P184" s="27"/>
      <c r="Q184" s="713">
        <f t="shared" si="13"/>
        <v>0</v>
      </c>
      <c r="R184" s="713">
        <f t="shared" si="14"/>
        <v>0</v>
      </c>
      <c r="S184" s="27"/>
      <c r="T184" s="713">
        <f t="shared" si="15"/>
        <v>0</v>
      </c>
      <c r="U184" s="713">
        <f t="shared" si="16"/>
        <v>0</v>
      </c>
      <c r="V184" s="27"/>
    </row>
    <row r="185" spans="1:22" ht="12.75">
      <c r="A185" s="12"/>
      <c r="B185" s="242" t="str">
        <f t="shared" si="8"/>
        <v>7 P</v>
      </c>
      <c r="C185" s="714">
        <v>0</v>
      </c>
      <c r="D185" s="714">
        <v>0</v>
      </c>
      <c r="E185" s="714">
        <v>0</v>
      </c>
      <c r="F185" s="714">
        <v>0</v>
      </c>
      <c r="G185" s="27"/>
      <c r="H185" s="114">
        <f t="shared" si="9"/>
        <v>0</v>
      </c>
      <c r="I185" s="695">
        <f t="shared" si="9"/>
        <v>0</v>
      </c>
      <c r="J185" s="27"/>
      <c r="K185" s="714">
        <v>0</v>
      </c>
      <c r="L185" s="713">
        <f t="shared" si="10"/>
        <v>0</v>
      </c>
      <c r="M185" s="226"/>
      <c r="N185" s="713">
        <f t="shared" si="11"/>
        <v>0</v>
      </c>
      <c r="O185" s="713">
        <f t="shared" si="12"/>
        <v>0</v>
      </c>
      <c r="P185" s="27"/>
      <c r="Q185" s="713">
        <f t="shared" si="13"/>
        <v>0</v>
      </c>
      <c r="R185" s="713">
        <f t="shared" si="14"/>
        <v>0</v>
      </c>
      <c r="S185" s="27"/>
      <c r="T185" s="713">
        <f t="shared" si="15"/>
        <v>0</v>
      </c>
      <c r="U185" s="713">
        <f t="shared" si="16"/>
        <v>0</v>
      </c>
      <c r="V185" s="27"/>
    </row>
    <row r="186" spans="1:22" ht="12.75">
      <c r="A186" s="12"/>
      <c r="B186" s="242" t="str">
        <f t="shared" si="8"/>
        <v>8 P</v>
      </c>
      <c r="C186" s="714">
        <v>0</v>
      </c>
      <c r="D186" s="714">
        <v>0</v>
      </c>
      <c r="E186" s="714">
        <v>0</v>
      </c>
      <c r="F186" s="714">
        <v>0</v>
      </c>
      <c r="G186" s="27"/>
      <c r="H186" s="114">
        <f t="shared" si="9"/>
        <v>0</v>
      </c>
      <c r="I186" s="695">
        <f t="shared" si="9"/>
        <v>0</v>
      </c>
      <c r="J186" s="27"/>
      <c r="K186" s="714">
        <v>0</v>
      </c>
      <c r="L186" s="713">
        <f t="shared" si="10"/>
        <v>0</v>
      </c>
      <c r="M186" s="226"/>
      <c r="N186" s="713">
        <f t="shared" si="11"/>
        <v>0</v>
      </c>
      <c r="O186" s="713">
        <f t="shared" si="12"/>
        <v>0</v>
      </c>
      <c r="P186" s="27"/>
      <c r="Q186" s="713">
        <f t="shared" si="13"/>
        <v>0</v>
      </c>
      <c r="R186" s="713">
        <f t="shared" si="14"/>
        <v>0</v>
      </c>
      <c r="S186" s="27"/>
      <c r="T186" s="713">
        <f t="shared" si="15"/>
        <v>0</v>
      </c>
      <c r="U186" s="713">
        <f t="shared" si="16"/>
        <v>0</v>
      </c>
      <c r="V186" s="27"/>
    </row>
    <row r="187" spans="1:22" ht="12.75">
      <c r="A187" s="12"/>
      <c r="B187" s="242" t="str">
        <f t="shared" si="8"/>
        <v>9 P</v>
      </c>
      <c r="C187" s="714">
        <v>0</v>
      </c>
      <c r="D187" s="714">
        <v>0</v>
      </c>
      <c r="E187" s="714">
        <v>0</v>
      </c>
      <c r="F187" s="714">
        <v>0</v>
      </c>
      <c r="G187" s="27"/>
      <c r="H187" s="114">
        <f t="shared" si="9"/>
        <v>0</v>
      </c>
      <c r="I187" s="695">
        <f t="shared" si="9"/>
        <v>0</v>
      </c>
      <c r="J187" s="27"/>
      <c r="K187" s="714">
        <v>0</v>
      </c>
      <c r="L187" s="713">
        <f t="shared" si="10"/>
        <v>0</v>
      </c>
      <c r="M187" s="226"/>
      <c r="N187" s="713">
        <f t="shared" si="11"/>
        <v>0</v>
      </c>
      <c r="O187" s="713">
        <f t="shared" si="12"/>
        <v>0</v>
      </c>
      <c r="P187" s="27"/>
      <c r="Q187" s="713">
        <f t="shared" si="13"/>
        <v>0</v>
      </c>
      <c r="R187" s="713">
        <f t="shared" si="14"/>
        <v>0</v>
      </c>
      <c r="S187" s="27"/>
      <c r="T187" s="713">
        <f t="shared" si="15"/>
        <v>0</v>
      </c>
      <c r="U187" s="713">
        <f t="shared" si="16"/>
        <v>0</v>
      </c>
      <c r="V187" s="27"/>
    </row>
    <row r="188" spans="1:22" ht="12.75">
      <c r="A188" s="12"/>
      <c r="B188" s="242" t="str">
        <f t="shared" si="8"/>
        <v>10 P</v>
      </c>
      <c r="C188" s="714">
        <v>0</v>
      </c>
      <c r="D188" s="714">
        <v>0</v>
      </c>
      <c r="E188" s="714">
        <v>0</v>
      </c>
      <c r="F188" s="714">
        <v>0</v>
      </c>
      <c r="G188" s="27"/>
      <c r="H188" s="114">
        <f t="shared" si="9"/>
        <v>0</v>
      </c>
      <c r="I188" s="695">
        <f t="shared" si="9"/>
        <v>0</v>
      </c>
      <c r="J188" s="27"/>
      <c r="K188" s="714">
        <v>0</v>
      </c>
      <c r="L188" s="713">
        <f t="shared" si="10"/>
        <v>0</v>
      </c>
      <c r="M188" s="226"/>
      <c r="N188" s="713">
        <f t="shared" si="11"/>
        <v>0</v>
      </c>
      <c r="O188" s="713">
        <f t="shared" si="12"/>
        <v>0</v>
      </c>
      <c r="P188" s="27"/>
      <c r="Q188" s="713">
        <f t="shared" si="13"/>
        <v>0</v>
      </c>
      <c r="R188" s="713">
        <f t="shared" si="14"/>
        <v>0</v>
      </c>
      <c r="S188" s="27"/>
      <c r="T188" s="713">
        <f t="shared" si="15"/>
        <v>0</v>
      </c>
      <c r="U188" s="713">
        <f t="shared" si="16"/>
        <v>0</v>
      </c>
      <c r="V188" s="27"/>
    </row>
    <row r="189" spans="1:22" ht="13.5" thickBot="1">
      <c r="A189" s="12"/>
      <c r="B189" s="242" t="str">
        <f t="shared" si="8"/>
        <v>11 P</v>
      </c>
      <c r="C189" s="715">
        <v>0</v>
      </c>
      <c r="D189" s="715">
        <v>0</v>
      </c>
      <c r="E189" s="715">
        <v>0</v>
      </c>
      <c r="F189" s="715">
        <v>0</v>
      </c>
      <c r="G189" s="27"/>
      <c r="H189" s="114">
        <f t="shared" si="9"/>
        <v>0</v>
      </c>
      <c r="I189" s="706">
        <f t="shared" si="9"/>
        <v>0</v>
      </c>
      <c r="J189" s="27"/>
      <c r="K189" s="715">
        <v>0</v>
      </c>
      <c r="L189" s="713">
        <f t="shared" si="10"/>
        <v>0</v>
      </c>
      <c r="M189" s="226"/>
      <c r="N189" s="713">
        <f t="shared" si="11"/>
        <v>0</v>
      </c>
      <c r="O189" s="713">
        <f t="shared" si="12"/>
        <v>0</v>
      </c>
      <c r="P189" s="27"/>
      <c r="Q189" s="713">
        <f t="shared" si="13"/>
        <v>0</v>
      </c>
      <c r="R189" s="713">
        <f t="shared" si="14"/>
        <v>0</v>
      </c>
      <c r="S189" s="27"/>
      <c r="T189" s="713">
        <f t="shared" si="15"/>
        <v>0</v>
      </c>
      <c r="U189" s="713">
        <f t="shared" si="16"/>
        <v>0</v>
      </c>
      <c r="V189" s="27"/>
    </row>
    <row r="190" spans="1:22" ht="12.75">
      <c r="A190" s="12"/>
      <c r="B190" s="108" t="s">
        <v>139</v>
      </c>
      <c r="C190" s="110">
        <f>SUM(C166:C189)</f>
        <v>0</v>
      </c>
      <c r="D190" s="110">
        <f>SUM(D166:D189)</f>
        <v>0</v>
      </c>
      <c r="E190" s="110">
        <f>SUM(E166:E189)</f>
        <v>0</v>
      </c>
      <c r="F190" s="110">
        <f>SUM(F166:F189)</f>
        <v>0</v>
      </c>
      <c r="G190" s="27"/>
      <c r="H190" s="136">
        <f>SUM(H166:H189)</f>
        <v>0</v>
      </c>
      <c r="I190" s="136">
        <f>SUM(I166:I189)</f>
        <v>0</v>
      </c>
      <c r="J190" s="27"/>
      <c r="K190" s="136">
        <f>SUM(K166:K189)</f>
        <v>0</v>
      </c>
      <c r="L190" s="716">
        <f>SUM(L166:L189)</f>
        <v>0</v>
      </c>
      <c r="M190" s="226"/>
      <c r="N190" s="718">
        <f>SUM(N166:N189)</f>
        <v>0</v>
      </c>
      <c r="O190" s="716">
        <f>SUM(O166:O189)</f>
        <v>0</v>
      </c>
      <c r="P190" s="27"/>
      <c r="Q190" s="716">
        <f>SUM(Q166:Q189)</f>
        <v>0</v>
      </c>
      <c r="R190" s="716">
        <f>SUM(R166:R189)</f>
        <v>0</v>
      </c>
      <c r="S190" s="27"/>
      <c r="T190" s="716">
        <f>SUM(T166:T189)</f>
        <v>0</v>
      </c>
      <c r="U190" s="716">
        <f>SUM(U166:U189)</f>
        <v>0</v>
      </c>
      <c r="V190" s="27"/>
    </row>
    <row r="191" spans="1:22" ht="12.75">
      <c r="A191" s="12"/>
      <c r="B191" s="112" t="s">
        <v>141</v>
      </c>
      <c r="C191" s="114">
        <f>MAX(C166:C189)</f>
        <v>0</v>
      </c>
      <c r="D191" s="114">
        <f>MAX(D166:D189)</f>
        <v>0</v>
      </c>
      <c r="E191" s="114">
        <f>MAX(E166:E189)</f>
        <v>0</v>
      </c>
      <c r="F191" s="114">
        <f>MAX(F166:F189)</f>
        <v>0</v>
      </c>
      <c r="G191" s="27"/>
      <c r="H191" s="141">
        <f>MAX(H166:H189)</f>
        <v>0</v>
      </c>
      <c r="I191" s="141">
        <f>MAX(I166:I189)</f>
        <v>0</v>
      </c>
      <c r="J191" s="27"/>
      <c r="K191" s="141">
        <f>MAX(K166:K189)</f>
        <v>0</v>
      </c>
      <c r="L191" s="713">
        <f>MAX(L166:L189)</f>
        <v>0</v>
      </c>
      <c r="M191" s="226"/>
      <c r="N191" s="713">
        <f>MAX(N166:N189)</f>
        <v>0</v>
      </c>
      <c r="O191" s="713">
        <f>MAX(O166:O189)</f>
        <v>0</v>
      </c>
      <c r="P191" s="27"/>
      <c r="Q191" s="713">
        <f>MAX(Q166:Q189)</f>
        <v>0</v>
      </c>
      <c r="R191" s="713">
        <f>MAX(R166:R189)</f>
        <v>0</v>
      </c>
      <c r="S191" s="27"/>
      <c r="T191" s="713">
        <f>MAX(T166:T189)</f>
        <v>0</v>
      </c>
      <c r="U191" s="713">
        <f>MAX(U166:U189)</f>
        <v>0</v>
      </c>
      <c r="V191" s="27"/>
    </row>
    <row r="192" spans="1:22" ht="13.5" customHeight="1" thickBot="1">
      <c r="A192" s="12"/>
      <c r="B192" s="115" t="s">
        <v>142</v>
      </c>
      <c r="C192" s="117">
        <f>MIN(C166:C189)</f>
        <v>0</v>
      </c>
      <c r="D192" s="117">
        <f>MIN(D166:D189)</f>
        <v>0</v>
      </c>
      <c r="E192" s="117">
        <f>MIN(E166:E189)</f>
        <v>0</v>
      </c>
      <c r="F192" s="117">
        <f>MIN(F166:F189)</f>
        <v>0</v>
      </c>
      <c r="G192" s="27"/>
      <c r="H192" s="146">
        <f>MIN(H166:H189)</f>
        <v>0</v>
      </c>
      <c r="I192" s="146">
        <f>MIN(I166:I189)</f>
        <v>0</v>
      </c>
      <c r="J192" s="27"/>
      <c r="K192" s="146">
        <f>MIN(K166:K189)</f>
        <v>0</v>
      </c>
      <c r="L192" s="717">
        <f>MIN(L166:L189)</f>
        <v>0</v>
      </c>
      <c r="M192" s="226"/>
      <c r="N192" s="717">
        <f>MIN(N166:N189)</f>
        <v>0</v>
      </c>
      <c r="O192" s="713">
        <f>MIN(O166:O189)</f>
        <v>0</v>
      </c>
      <c r="P192" s="27"/>
      <c r="Q192" s="713">
        <f>MIN(Q166:Q189)</f>
        <v>0</v>
      </c>
      <c r="R192" s="713">
        <f>MIN(R166:R189)</f>
        <v>0</v>
      </c>
      <c r="S192" s="27"/>
      <c r="T192" s="713">
        <f>MIN(T166:T189)</f>
        <v>0</v>
      </c>
      <c r="U192" s="713">
        <f>MIN(U166:U189)</f>
        <v>0</v>
      </c>
      <c r="V192" s="27"/>
    </row>
    <row r="193" spans="1:22" ht="3.75" customHeight="1" thickBot="1">
      <c r="A193" s="20"/>
      <c r="B193" s="372"/>
      <c r="C193" s="372"/>
      <c r="D193" s="372"/>
      <c r="E193" s="372"/>
      <c r="F193" s="372"/>
      <c r="G193" s="122"/>
      <c r="H193" s="372"/>
      <c r="I193" s="372"/>
      <c r="J193" s="17"/>
      <c r="K193" s="372"/>
      <c r="L193" s="372"/>
      <c r="M193" s="17"/>
      <c r="N193" s="372"/>
      <c r="O193" s="372"/>
      <c r="P193" s="17"/>
      <c r="Q193" s="372"/>
      <c r="R193" s="372"/>
      <c r="S193" s="17"/>
      <c r="T193" s="372"/>
      <c r="U193" s="372"/>
      <c r="V193" s="18"/>
    </row>
    <row r="194" spans="1:19" ht="12.75">
      <c r="A194" s="1"/>
      <c r="B194" s="6"/>
      <c r="C194" s="6"/>
      <c r="D194" s="6"/>
      <c r="E194" s="6"/>
      <c r="F194" s="45"/>
      <c r="G194" s="6"/>
      <c r="H194" s="72"/>
      <c r="I194" s="72"/>
      <c r="J194" s="72"/>
      <c r="K194" s="150"/>
      <c r="L194" s="150"/>
      <c r="M194" s="72"/>
      <c r="N194" s="150"/>
      <c r="O194" s="150"/>
      <c r="P194" s="72"/>
      <c r="Q194" s="72"/>
      <c r="R194" s="72"/>
      <c r="S194" s="1"/>
    </row>
    <row r="195" spans="1:19" ht="24" customHeight="1">
      <c r="A195" s="1"/>
      <c r="B195" s="6"/>
      <c r="C195" s="6"/>
      <c r="D195" s="6"/>
      <c r="E195" s="6"/>
      <c r="F195" s="45"/>
      <c r="G195" s="6"/>
      <c r="H195" s="72"/>
      <c r="I195" s="72"/>
      <c r="J195" s="72"/>
      <c r="K195" s="150"/>
      <c r="L195" s="150"/>
      <c r="M195" s="72"/>
      <c r="N195" s="150"/>
      <c r="O195" s="150"/>
      <c r="P195" s="72"/>
      <c r="Q195" s="72"/>
      <c r="R195" s="72"/>
      <c r="S195" s="1"/>
    </row>
    <row r="196" spans="2:7" ht="15.75" thickBot="1">
      <c r="B196" s="83" t="s">
        <v>150</v>
      </c>
      <c r="G196"/>
    </row>
    <row r="197" spans="1:19" ht="5.25" customHeight="1" thickBot="1">
      <c r="A197" s="22"/>
      <c r="B197" s="14"/>
      <c r="C197" s="14"/>
      <c r="D197" s="14"/>
      <c r="E197" s="14"/>
      <c r="F197" s="14"/>
      <c r="G197" s="84"/>
      <c r="H197" s="14"/>
      <c r="I197" s="14"/>
      <c r="J197" s="14"/>
      <c r="K197" s="14"/>
      <c r="L197" s="14"/>
      <c r="M197" s="14"/>
      <c r="N197" s="14"/>
      <c r="O197" s="14"/>
      <c r="P197" s="14"/>
      <c r="Q197" s="14"/>
      <c r="R197" s="14"/>
      <c r="S197" s="21"/>
    </row>
    <row r="198" spans="1:19" ht="13.5" thickBot="1">
      <c r="A198" s="12"/>
      <c r="B198" s="31"/>
      <c r="C198" s="23"/>
      <c r="D198" s="23"/>
      <c r="E198" s="43" t="s">
        <v>2</v>
      </c>
      <c r="F198" s="377">
        <f>IF($F$95="","",$F$95)</f>
        <v>60</v>
      </c>
      <c r="G198" s="27"/>
      <c r="H198" s="86" t="s">
        <v>3</v>
      </c>
      <c r="I198" s="87"/>
      <c r="J198" s="24"/>
      <c r="K198" s="24"/>
      <c r="L198" s="28"/>
      <c r="M198" s="1"/>
      <c r="N198" s="86" t="s">
        <v>4</v>
      </c>
      <c r="O198" s="87"/>
      <c r="P198" s="24"/>
      <c r="Q198" s="24"/>
      <c r="R198" s="24"/>
      <c r="S198" s="27"/>
    </row>
    <row r="199" spans="1:19" ht="12.75">
      <c r="A199" s="12"/>
      <c r="B199" s="33"/>
      <c r="C199" s="6"/>
      <c r="D199" s="6"/>
      <c r="E199" s="45" t="s">
        <v>5</v>
      </c>
      <c r="F199" s="379">
        <f>IF($F$96="","",$F$96)</f>
      </c>
      <c r="G199" s="27"/>
      <c r="H199" s="88" t="s">
        <v>6</v>
      </c>
      <c r="I199" s="170">
        <f>IF($I$96="","",$I$96)</f>
      </c>
      <c r="J199" s="171"/>
      <c r="K199" s="171"/>
      <c r="L199" s="172"/>
      <c r="M199" s="1"/>
      <c r="N199" s="88" t="s">
        <v>7</v>
      </c>
      <c r="O199" s="295">
        <f>IF(O108="","",O108)</f>
      </c>
      <c r="P199" s="181"/>
      <c r="Q199" s="181"/>
      <c r="R199" s="181"/>
      <c r="S199" s="27"/>
    </row>
    <row r="200" spans="1:19" ht="13.5" thickBot="1">
      <c r="A200" s="12"/>
      <c r="B200" s="35"/>
      <c r="C200" s="26"/>
      <c r="D200" s="26"/>
      <c r="E200" s="46" t="s">
        <v>9</v>
      </c>
      <c r="F200" s="381">
        <f>IF($F$97="","",$F$97)</f>
      </c>
      <c r="G200" s="27"/>
      <c r="H200" s="89" t="s">
        <v>10</v>
      </c>
      <c r="I200" s="250">
        <f>IF($I$97="","",$I$97)</f>
      </c>
      <c r="J200" s="173"/>
      <c r="K200" s="173"/>
      <c r="L200" s="174"/>
      <c r="M200" s="1"/>
      <c r="N200" s="89" t="s">
        <v>10</v>
      </c>
      <c r="O200" s="296" t="s">
        <v>470</v>
      </c>
      <c r="P200" s="30"/>
      <c r="Q200" s="30"/>
      <c r="R200" s="30"/>
      <c r="S200" s="27"/>
    </row>
    <row r="201" spans="1:19" ht="13.5" thickBot="1">
      <c r="A201" s="12"/>
      <c r="B201" s="165" t="s">
        <v>12</v>
      </c>
      <c r="C201" s="166"/>
      <c r="D201" s="166"/>
      <c r="E201" s="317" t="s">
        <v>13</v>
      </c>
      <c r="F201" s="383" t="s">
        <v>14</v>
      </c>
      <c r="G201" s="27"/>
      <c r="H201" s="22"/>
      <c r="I201" s="85" t="s">
        <v>15</v>
      </c>
      <c r="J201" s="123">
        <v>33081</v>
      </c>
      <c r="K201" s="175">
        <f>IF($K$98="","",$K$98)</f>
      </c>
      <c r="L201" s="176"/>
      <c r="M201" s="1"/>
      <c r="N201" s="22"/>
      <c r="O201" s="189" t="s">
        <v>16</v>
      </c>
      <c r="P201" s="15"/>
      <c r="Q201" s="175">
        <f>IF($Q$98="","",$Q$98)</f>
      </c>
      <c r="R201" s="176"/>
      <c r="S201" s="27"/>
    </row>
    <row r="202" spans="1:19" ht="12.75">
      <c r="A202" s="12"/>
      <c r="B202" s="47"/>
      <c r="C202" s="10"/>
      <c r="D202" s="313" t="s">
        <v>17</v>
      </c>
      <c r="E202" s="291">
        <f>IF($E$99="","",$E$99)</f>
        <v>1</v>
      </c>
      <c r="F202" s="385">
        <f>IF($F$99="","",$F$99)</f>
      </c>
      <c r="G202" s="27"/>
      <c r="H202" s="12"/>
      <c r="I202" s="82" t="s">
        <v>18</v>
      </c>
      <c r="J202" s="123"/>
      <c r="K202" s="177">
        <f>IF($K$99="","",$K$99)</f>
      </c>
      <c r="L202" s="178"/>
      <c r="M202" s="1"/>
      <c r="N202" s="12"/>
      <c r="O202" s="189" t="s">
        <v>19</v>
      </c>
      <c r="P202" s="15"/>
      <c r="Q202" s="177">
        <f>IF($Q$99="","",$Q$99)</f>
      </c>
      <c r="R202" s="178"/>
      <c r="S202" s="27"/>
    </row>
    <row r="203" spans="1:19" ht="13.5" thickBot="1">
      <c r="A203" s="12"/>
      <c r="B203" s="33"/>
      <c r="C203" s="6"/>
      <c r="D203" s="152" t="s">
        <v>20</v>
      </c>
      <c r="E203" s="276">
        <f>IF($E$100="","",$E$100)</f>
        <v>10.79</v>
      </c>
      <c r="F203" s="386">
        <f>IF($F$100="","",$F$100)</f>
        <v>10.79</v>
      </c>
      <c r="G203" s="27"/>
      <c r="H203" s="20"/>
      <c r="I203" s="90" t="s">
        <v>21</v>
      </c>
      <c r="J203" s="124">
        <v>35550</v>
      </c>
      <c r="K203" s="179">
        <f>IF($K$100="","",$K$100)</f>
      </c>
      <c r="L203" s="180"/>
      <c r="M203" s="1"/>
      <c r="N203" s="20"/>
      <c r="O203" s="190" t="s">
        <v>22</v>
      </c>
      <c r="P203" s="30"/>
      <c r="Q203" s="243">
        <f>IF($Q$100="","",$Q$100)</f>
      </c>
      <c r="R203" s="180"/>
      <c r="S203" s="27"/>
    </row>
    <row r="204" spans="1:19" ht="12.75">
      <c r="A204" s="12"/>
      <c r="B204" s="47"/>
      <c r="C204" s="10"/>
      <c r="D204" s="154" t="s">
        <v>23</v>
      </c>
      <c r="E204" s="277">
        <f>IF($E$101="","",$E$101)</f>
        <v>0.3</v>
      </c>
      <c r="F204" s="387">
        <f>IF($F$101="","",$F$101)</f>
        <v>1</v>
      </c>
      <c r="G204" s="27"/>
      <c r="H204" s="290" t="s">
        <v>24</v>
      </c>
      <c r="I204" s="119"/>
      <c r="J204" s="119"/>
      <c r="K204" s="119"/>
      <c r="L204" s="119"/>
      <c r="M204" s="119"/>
      <c r="N204" s="119"/>
      <c r="O204" s="119"/>
      <c r="P204" s="119"/>
      <c r="Q204" s="119"/>
      <c r="S204" s="27"/>
    </row>
    <row r="205" spans="1:19" ht="13.5" thickBot="1">
      <c r="A205" s="12"/>
      <c r="B205" s="33"/>
      <c r="C205" s="6"/>
      <c r="D205" s="152" t="s">
        <v>25</v>
      </c>
      <c r="E205" s="277">
        <f>IF($E$102="","",$E$102)</f>
      </c>
      <c r="F205" s="387">
        <f>IF($F$102="","",$F$102)</f>
      </c>
      <c r="G205" s="27"/>
      <c r="H205" s="156"/>
      <c r="I205" s="3"/>
      <c r="J205" s="3"/>
      <c r="K205" s="3"/>
      <c r="L205" s="3"/>
      <c r="M205" s="13"/>
      <c r="N205" s="13"/>
      <c r="O205" s="13"/>
      <c r="P205" s="13"/>
      <c r="Q205" s="13"/>
      <c r="R205" s="13"/>
      <c r="S205" s="27"/>
    </row>
    <row r="206" spans="1:19" ht="3.75" customHeight="1" thickBot="1">
      <c r="A206" s="12"/>
      <c r="B206" s="284"/>
      <c r="C206" s="284"/>
      <c r="D206" s="284"/>
      <c r="E206" s="284"/>
      <c r="F206" s="284"/>
      <c r="G206" s="1"/>
      <c r="H206" s="87"/>
      <c r="I206" s="87"/>
      <c r="J206" s="87"/>
      <c r="K206" s="87"/>
      <c r="L206" s="87"/>
      <c r="M206" s="87"/>
      <c r="N206" s="87"/>
      <c r="O206" s="87"/>
      <c r="P206" s="87"/>
      <c r="Q206" s="87"/>
      <c r="R206" s="87"/>
      <c r="S206" s="19"/>
    </row>
    <row r="207" spans="1:19" ht="16.5" thickBot="1">
      <c r="A207" s="12"/>
      <c r="B207" s="165" t="s">
        <v>26</v>
      </c>
      <c r="C207" s="168"/>
      <c r="D207" s="166"/>
      <c r="E207" s="166"/>
      <c r="F207" s="169"/>
      <c r="G207" s="271"/>
      <c r="H207" s="388" t="s">
        <v>27</v>
      </c>
      <c r="I207" s="389"/>
      <c r="J207" s="27"/>
      <c r="K207" s="657" t="s">
        <v>93</v>
      </c>
      <c r="L207" s="24"/>
      <c r="M207" s="24"/>
      <c r="N207" s="24"/>
      <c r="O207" s="244"/>
      <c r="P207" s="24"/>
      <c r="Q207" s="28"/>
      <c r="R207" s="28"/>
      <c r="S207" s="27"/>
    </row>
    <row r="208" spans="1:19" ht="16.5" thickBot="1">
      <c r="A208" s="12"/>
      <c r="B208" s="74"/>
      <c r="C208" s="75"/>
      <c r="D208" s="76"/>
      <c r="E208" s="76"/>
      <c r="F208" s="283" t="s">
        <v>31</v>
      </c>
      <c r="G208" s="272"/>
      <c r="H208" s="391">
        <f>IF(H105="","",H105)</f>
      </c>
      <c r="I208" s="392"/>
      <c r="J208" s="27"/>
      <c r="K208" s="119"/>
      <c r="L208" s="87"/>
      <c r="M208" s="87"/>
      <c r="N208" s="14"/>
      <c r="O208" s="85" t="s">
        <v>94</v>
      </c>
      <c r="P208" s="21"/>
      <c r="Q208" s="636">
        <f aca="true" t="shared" si="17" ref="Q208:Q227">IF(T105="","",T105)</f>
      </c>
      <c r="R208" s="629"/>
      <c r="S208" s="27"/>
    </row>
    <row r="209" spans="1:19" ht="13.5" customHeight="1" thickBot="1">
      <c r="A209" s="12"/>
      <c r="B209" s="363" t="s">
        <v>32</v>
      </c>
      <c r="C209" s="364"/>
      <c r="D209" s="364"/>
      <c r="E209" s="364"/>
      <c r="F209" s="366" t="s">
        <v>33</v>
      </c>
      <c r="G209" s="27"/>
      <c r="H209" s="395" t="s">
        <v>34</v>
      </c>
      <c r="I209" s="395" t="s">
        <v>35</v>
      </c>
      <c r="J209" s="27"/>
      <c r="K209" s="630"/>
      <c r="L209" s="631"/>
      <c r="M209" s="631"/>
      <c r="N209" s="17"/>
      <c r="O209" s="90" t="s">
        <v>95</v>
      </c>
      <c r="P209" s="18"/>
      <c r="Q209" s="637">
        <f t="shared" si="17"/>
      </c>
      <c r="R209" s="632"/>
      <c r="S209" s="27"/>
    </row>
    <row r="210" spans="1:19" ht="13.5" thickBot="1">
      <c r="A210" s="12"/>
      <c r="B210" s="350"/>
      <c r="C210" s="351"/>
      <c r="D210" s="352" t="s">
        <v>36</v>
      </c>
      <c r="E210" s="353"/>
      <c r="F210" s="158" t="s">
        <v>37</v>
      </c>
      <c r="G210" s="239"/>
      <c r="H210" s="397">
        <f>IF(H107="","",H107)</f>
      </c>
      <c r="I210" s="398" t="s">
        <v>38</v>
      </c>
      <c r="J210" s="293"/>
      <c r="K210" s="372"/>
      <c r="L210" s="284"/>
      <c r="M210" s="372"/>
      <c r="N210" s="284"/>
      <c r="O210" s="285" t="s">
        <v>96</v>
      </c>
      <c r="P210" s="486"/>
      <c r="Q210" s="490">
        <f t="shared" si="17"/>
        <v>0</v>
      </c>
      <c r="R210" s="490"/>
      <c r="S210" s="27"/>
    </row>
    <row r="211" spans="1:19" ht="13.5" customHeight="1" thickBot="1">
      <c r="A211" s="12"/>
      <c r="B211" s="354"/>
      <c r="C211" s="60"/>
      <c r="D211" s="355"/>
      <c r="E211" s="61"/>
      <c r="F211" s="159" t="s">
        <v>39</v>
      </c>
      <c r="G211" s="239"/>
      <c r="H211" s="400">
        <f>IF(H108="","",H108)</f>
      </c>
      <c r="I211" s="784">
        <f>IF(I108="","",I108)</f>
      </c>
      <c r="J211" s="293"/>
      <c r="K211" s="14"/>
      <c r="L211" s="23"/>
      <c r="M211" s="14"/>
      <c r="N211" s="23"/>
      <c r="O211" s="43" t="s">
        <v>97</v>
      </c>
      <c r="P211" s="21"/>
      <c r="Q211" s="491">
        <f t="shared" si="17"/>
        <v>0</v>
      </c>
      <c r="R211" s="491"/>
      <c r="S211" s="27"/>
    </row>
    <row r="212" spans="1:19" ht="13.5" customHeight="1" thickBot="1">
      <c r="A212" s="12"/>
      <c r="B212" s="350"/>
      <c r="C212" s="351"/>
      <c r="D212" s="352" t="s">
        <v>40</v>
      </c>
      <c r="E212" s="353"/>
      <c r="F212" s="158" t="s">
        <v>37</v>
      </c>
      <c r="G212" s="239"/>
      <c r="H212" s="397">
        <f>IF(H109="","",H109)</f>
      </c>
      <c r="I212" s="672">
        <f>IF(I109="","",I109)</f>
      </c>
      <c r="J212" s="293"/>
      <c r="K212" s="17"/>
      <c r="L212" s="26"/>
      <c r="M212" s="17"/>
      <c r="N212" s="26"/>
      <c r="O212" s="46" t="s">
        <v>98</v>
      </c>
      <c r="P212" s="18"/>
      <c r="Q212" s="492">
        <f t="shared" si="17"/>
        <v>0</v>
      </c>
      <c r="R212" s="492"/>
      <c r="S212" s="27"/>
    </row>
    <row r="213" spans="1:19" ht="13.5" thickBot="1">
      <c r="A213" s="12"/>
      <c r="B213" s="356"/>
      <c r="C213" s="151"/>
      <c r="D213" s="357"/>
      <c r="E213" s="353"/>
      <c r="F213" s="158" t="s">
        <v>39</v>
      </c>
      <c r="G213" s="239"/>
      <c r="H213" s="397">
        <f>IF(H110="","",H110)</f>
      </c>
      <c r="I213" s="672">
        <f>IF(I110="","",I110)</f>
      </c>
      <c r="J213" s="294"/>
      <c r="K213" s="14"/>
      <c r="L213" s="23"/>
      <c r="M213" s="14"/>
      <c r="N213" s="23"/>
      <c r="O213" s="43" t="s">
        <v>99</v>
      </c>
      <c r="P213" s="21"/>
      <c r="Q213" s="510">
        <f t="shared" si="17"/>
        <v>0</v>
      </c>
      <c r="R213" s="491"/>
      <c r="S213" s="27"/>
    </row>
    <row r="214" spans="1:19" ht="13.5" thickBot="1">
      <c r="A214" s="12"/>
      <c r="B214" s="165" t="s">
        <v>41</v>
      </c>
      <c r="C214" s="166"/>
      <c r="D214" s="166"/>
      <c r="E214" s="167"/>
      <c r="F214" s="169"/>
      <c r="G214" s="362"/>
      <c r="H214" s="401" t="s">
        <v>42</v>
      </c>
      <c r="I214" s="402" t="s">
        <v>43</v>
      </c>
      <c r="J214" s="101"/>
      <c r="K214" s="17"/>
      <c r="L214" s="26"/>
      <c r="M214" s="17"/>
      <c r="N214" s="26"/>
      <c r="O214" s="46" t="s">
        <v>100</v>
      </c>
      <c r="P214" s="18"/>
      <c r="Q214" s="514">
        <f t="shared" si="17"/>
        <v>0</v>
      </c>
      <c r="R214" s="492"/>
      <c r="S214" s="27"/>
    </row>
    <row r="215" spans="1:19" ht="12.75">
      <c r="A215" s="12"/>
      <c r="B215" s="33"/>
      <c r="C215" s="6"/>
      <c r="D215" s="45"/>
      <c r="E215" s="45"/>
      <c r="F215" s="152" t="s">
        <v>44</v>
      </c>
      <c r="G215" s="239"/>
      <c r="H215" s="261">
        <f aca="true" t="shared" si="18" ref="H215:I217">IF(H112="","",H112)</f>
      </c>
      <c r="I215" s="404">
        <f t="shared" si="18"/>
      </c>
      <c r="J215" s="101"/>
      <c r="K215" s="14"/>
      <c r="L215" s="23"/>
      <c r="M215" s="14"/>
      <c r="N215" s="14"/>
      <c r="O215" s="43" t="s">
        <v>101</v>
      </c>
      <c r="P215" s="21"/>
      <c r="Q215" s="515">
        <f t="shared" si="17"/>
        <v>0</v>
      </c>
      <c r="R215" s="491"/>
      <c r="S215" s="27"/>
    </row>
    <row r="216" spans="1:19" ht="12.75">
      <c r="A216" s="12"/>
      <c r="B216" s="33"/>
      <c r="C216" s="6"/>
      <c r="D216" s="49"/>
      <c r="E216" s="49"/>
      <c r="F216" s="96" t="s">
        <v>117</v>
      </c>
      <c r="G216" s="239"/>
      <c r="H216" s="672">
        <f t="shared" si="18"/>
      </c>
      <c r="I216" s="672">
        <f t="shared" si="18"/>
      </c>
      <c r="J216" s="101"/>
      <c r="K216" s="1"/>
      <c r="L216" s="6"/>
      <c r="M216" s="1"/>
      <c r="N216" s="1"/>
      <c r="O216" s="45" t="s">
        <v>536</v>
      </c>
      <c r="P216" s="19"/>
      <c r="Q216" s="516">
        <f t="shared" si="17"/>
        <v>0</v>
      </c>
      <c r="R216" s="493"/>
      <c r="S216" s="27"/>
    </row>
    <row r="217" spans="1:19" ht="13.5" thickBot="1">
      <c r="A217" s="94"/>
      <c r="B217" s="33"/>
      <c r="C217" s="26"/>
      <c r="D217" s="46"/>
      <c r="E217" s="46"/>
      <c r="F217" s="153" t="s">
        <v>46</v>
      </c>
      <c r="G217" s="239"/>
      <c r="H217" s="672">
        <f t="shared" si="18"/>
      </c>
      <c r="I217" s="672">
        <f t="shared" si="18"/>
      </c>
      <c r="J217" s="102"/>
      <c r="K217" s="17"/>
      <c r="L217" s="17"/>
      <c r="M217" s="17"/>
      <c r="N217" s="26"/>
      <c r="O217" s="90" t="s">
        <v>103</v>
      </c>
      <c r="P217" s="18"/>
      <c r="Q217" s="500">
        <f t="shared" si="17"/>
        <v>0</v>
      </c>
      <c r="R217" s="492"/>
      <c r="S217" s="27"/>
    </row>
    <row r="218" spans="1:19" ht="13.5" thickBot="1">
      <c r="A218" s="94"/>
      <c r="B218" s="363" t="s">
        <v>47</v>
      </c>
      <c r="C218" s="364"/>
      <c r="D218" s="364"/>
      <c r="E218" s="364"/>
      <c r="F218" s="365"/>
      <c r="G218" s="27"/>
      <c r="H218" s="401" t="s">
        <v>42</v>
      </c>
      <c r="I218" s="402" t="s">
        <v>43</v>
      </c>
      <c r="J218" s="101"/>
      <c r="K218" s="14"/>
      <c r="L218" s="23"/>
      <c r="M218" s="14"/>
      <c r="N218" s="23"/>
      <c r="O218" s="85" t="s">
        <v>104</v>
      </c>
      <c r="P218" s="21"/>
      <c r="Q218" s="511">
        <f t="shared" si="17"/>
        <v>0</v>
      </c>
      <c r="R218" s="494"/>
      <c r="S218" s="27"/>
    </row>
    <row r="219" spans="1:19" ht="12.75">
      <c r="A219" s="12"/>
      <c r="B219" s="56"/>
      <c r="C219" s="10"/>
      <c r="D219" s="10"/>
      <c r="E219" s="57"/>
      <c r="F219" s="154" t="s">
        <v>48</v>
      </c>
      <c r="G219" s="239"/>
      <c r="H219" s="261">
        <f aca="true" t="shared" si="19" ref="H219:I227">IF(H116="","",H116)</f>
      </c>
      <c r="I219" s="261">
        <f t="shared" si="19"/>
      </c>
      <c r="J219" s="101"/>
      <c r="K219" s="1"/>
      <c r="L219" s="6"/>
      <c r="M219" s="1"/>
      <c r="N219" s="6"/>
      <c r="O219" s="82" t="s">
        <v>105</v>
      </c>
      <c r="P219" s="19"/>
      <c r="Q219" s="512">
        <f t="shared" si="17"/>
        <v>0</v>
      </c>
      <c r="R219" s="495"/>
      <c r="S219" s="27"/>
    </row>
    <row r="220" spans="1:19" ht="12.75">
      <c r="A220" s="12"/>
      <c r="B220" s="33"/>
      <c r="C220" s="6"/>
      <c r="D220" s="6"/>
      <c r="E220" s="45"/>
      <c r="F220" s="152" t="s">
        <v>49</v>
      </c>
      <c r="G220" s="239"/>
      <c r="H220" s="405">
        <f t="shared" si="19"/>
      </c>
      <c r="I220" s="261">
        <f t="shared" si="19"/>
      </c>
      <c r="J220" s="101"/>
      <c r="K220" s="1"/>
      <c r="L220" s="6"/>
      <c r="M220" s="1"/>
      <c r="N220" s="6"/>
      <c r="O220" s="82" t="s">
        <v>106</v>
      </c>
      <c r="P220" s="19"/>
      <c r="Q220" s="512">
        <f t="shared" si="17"/>
        <v>0</v>
      </c>
      <c r="R220" s="496"/>
      <c r="S220" s="27"/>
    </row>
    <row r="221" spans="1:19" ht="13.5" thickBot="1">
      <c r="A221" s="12"/>
      <c r="B221" s="47"/>
      <c r="C221" s="10"/>
      <c r="D221" s="10"/>
      <c r="E221" s="48"/>
      <c r="F221" s="154" t="s">
        <v>50</v>
      </c>
      <c r="G221" s="239"/>
      <c r="H221" s="405">
        <f t="shared" si="19"/>
      </c>
      <c r="I221" s="261">
        <f t="shared" si="19"/>
      </c>
      <c r="J221" s="101"/>
      <c r="K221" s="17"/>
      <c r="L221" s="26"/>
      <c r="M221" s="17"/>
      <c r="N221" s="26"/>
      <c r="O221" s="90" t="s">
        <v>107</v>
      </c>
      <c r="P221" s="18"/>
      <c r="Q221" s="518">
        <f t="shared" si="17"/>
        <v>0</v>
      </c>
      <c r="R221" s="497"/>
      <c r="S221" s="27"/>
    </row>
    <row r="222" spans="1:19" ht="12.75">
      <c r="A222" s="12"/>
      <c r="B222" s="33"/>
      <c r="C222" s="6"/>
      <c r="D222" s="6"/>
      <c r="E222" s="45"/>
      <c r="F222" s="152" t="s">
        <v>51</v>
      </c>
      <c r="G222" s="239"/>
      <c r="H222" s="405">
        <f t="shared" si="19"/>
      </c>
      <c r="I222" s="261">
        <f t="shared" si="19"/>
      </c>
      <c r="J222" s="101"/>
      <c r="K222" s="14"/>
      <c r="L222" s="14"/>
      <c r="M222" s="14"/>
      <c r="N222" s="14"/>
      <c r="O222" s="43" t="s">
        <v>108</v>
      </c>
      <c r="P222" s="21"/>
      <c r="Q222" s="517">
        <f t="shared" si="17"/>
        <v>0</v>
      </c>
      <c r="R222" s="494"/>
      <c r="S222" s="27"/>
    </row>
    <row r="223" spans="1:19" ht="12.75" customHeight="1">
      <c r="A223" s="12"/>
      <c r="B223" s="47"/>
      <c r="C223" s="10"/>
      <c r="D223" s="10"/>
      <c r="E223" s="48"/>
      <c r="F223" s="154" t="s">
        <v>52</v>
      </c>
      <c r="G223" s="239"/>
      <c r="H223" s="405">
        <f t="shared" si="19"/>
      </c>
      <c r="I223" s="261">
        <f t="shared" si="19"/>
      </c>
      <c r="J223" s="101"/>
      <c r="K223" s="1"/>
      <c r="L223" s="6"/>
      <c r="M223" s="1"/>
      <c r="N223" s="1"/>
      <c r="O223" s="45" t="s">
        <v>109</v>
      </c>
      <c r="P223" s="19"/>
      <c r="Q223" s="513">
        <f t="shared" si="17"/>
        <v>0</v>
      </c>
      <c r="R223" s="498"/>
      <c r="S223" s="27"/>
    </row>
    <row r="224" spans="1:19" ht="12.75">
      <c r="A224" s="12"/>
      <c r="B224" s="33"/>
      <c r="C224" s="6"/>
      <c r="D224" s="6"/>
      <c r="E224" s="45"/>
      <c r="F224" s="152" t="s">
        <v>53</v>
      </c>
      <c r="G224" s="239"/>
      <c r="H224" s="405">
        <f t="shared" si="19"/>
      </c>
      <c r="I224" s="261">
        <f t="shared" si="19"/>
      </c>
      <c r="J224" s="101"/>
      <c r="K224" s="1"/>
      <c r="L224" s="6"/>
      <c r="M224" s="1"/>
      <c r="N224" s="1"/>
      <c r="O224" s="82" t="s">
        <v>110</v>
      </c>
      <c r="P224" s="19"/>
      <c r="Q224" s="516">
        <f t="shared" si="17"/>
        <v>0</v>
      </c>
      <c r="R224" s="499"/>
      <c r="S224" s="27"/>
    </row>
    <row r="225" spans="1:19" ht="13.5" customHeight="1" thickBot="1">
      <c r="A225" s="12"/>
      <c r="B225" s="47"/>
      <c r="C225" s="10"/>
      <c r="D225" s="10"/>
      <c r="E225" s="48"/>
      <c r="F225" s="154" t="s">
        <v>54</v>
      </c>
      <c r="G225" s="239">
        <v>2</v>
      </c>
      <c r="H225" s="405">
        <f t="shared" si="19"/>
      </c>
      <c r="I225" s="261">
        <f t="shared" si="19"/>
      </c>
      <c r="J225" s="101"/>
      <c r="K225" s="17"/>
      <c r="L225" s="17"/>
      <c r="M225" s="17"/>
      <c r="N225" s="26"/>
      <c r="O225" s="90" t="s">
        <v>111</v>
      </c>
      <c r="P225" s="18"/>
      <c r="Q225" s="500">
        <f t="shared" si="17"/>
        <v>0</v>
      </c>
      <c r="R225" s="500"/>
      <c r="S225" s="27"/>
    </row>
    <row r="226" spans="1:19" ht="12.75">
      <c r="A226" s="12"/>
      <c r="B226" s="33"/>
      <c r="C226" s="6"/>
      <c r="D226" s="6"/>
      <c r="E226" s="45"/>
      <c r="F226" s="152" t="s">
        <v>55</v>
      </c>
      <c r="G226" s="239">
        <v>2</v>
      </c>
      <c r="H226" s="405">
        <f t="shared" si="19"/>
      </c>
      <c r="I226" s="261">
        <f t="shared" si="19"/>
      </c>
      <c r="J226" s="101"/>
      <c r="K226" s="14"/>
      <c r="L226" s="14"/>
      <c r="M226" s="14"/>
      <c r="N226" s="23"/>
      <c r="O226" s="85" t="s">
        <v>112</v>
      </c>
      <c r="P226" s="21"/>
      <c r="Q226" s="501">
        <f t="shared" si="17"/>
        <v>0</v>
      </c>
      <c r="R226" s="501"/>
      <c r="S226" s="27"/>
    </row>
    <row r="227" spans="1:19" ht="13.5" thickBot="1">
      <c r="A227" s="12"/>
      <c r="B227" s="33"/>
      <c r="C227" s="6"/>
      <c r="D227" s="6"/>
      <c r="E227" s="45"/>
      <c r="F227" s="152" t="s">
        <v>56</v>
      </c>
      <c r="G227" s="239"/>
      <c r="H227" s="405">
        <f t="shared" si="19"/>
      </c>
      <c r="I227" s="261">
        <f t="shared" si="19"/>
      </c>
      <c r="J227" s="101"/>
      <c r="K227" s="17"/>
      <c r="L227" s="17"/>
      <c r="M227" s="17"/>
      <c r="N227" s="26"/>
      <c r="O227" s="90" t="s">
        <v>113</v>
      </c>
      <c r="P227" s="18"/>
      <c r="Q227" s="502">
        <f t="shared" si="17"/>
        <v>0</v>
      </c>
      <c r="R227" s="502"/>
      <c r="S227" s="27"/>
    </row>
    <row r="228" spans="1:19" ht="3.75" customHeight="1" thickBot="1">
      <c r="A228" s="12"/>
      <c r="B228" s="284"/>
      <c r="C228" s="284"/>
      <c r="D228" s="284"/>
      <c r="E228" s="285"/>
      <c r="F228" s="285"/>
      <c r="G228" s="6"/>
      <c r="H228" s="443"/>
      <c r="I228" s="444"/>
      <c r="J228" s="95"/>
      <c r="K228" s="1"/>
      <c r="L228" s="1"/>
      <c r="M228" s="1"/>
      <c r="N228" s="1"/>
      <c r="O228" s="1"/>
      <c r="P228" s="1"/>
      <c r="Q228" s="1"/>
      <c r="R228" s="1"/>
      <c r="S228" s="19"/>
    </row>
    <row r="229" spans="1:19" ht="13.5" thickBot="1">
      <c r="A229" s="12"/>
      <c r="B229" s="165" t="s">
        <v>57</v>
      </c>
      <c r="C229" s="166"/>
      <c r="D229" s="166"/>
      <c r="E229" s="186"/>
      <c r="F229" s="187"/>
      <c r="G229" s="6"/>
      <c r="H229" s="445" t="s">
        <v>13</v>
      </c>
      <c r="I229" s="446" t="s">
        <v>14</v>
      </c>
      <c r="J229" s="656"/>
      <c r="S229" s="19"/>
    </row>
    <row r="230" spans="1:19" ht="12.75">
      <c r="A230" s="12"/>
      <c r="B230" s="160"/>
      <c r="C230" s="6"/>
      <c r="D230" s="6"/>
      <c r="E230" s="45"/>
      <c r="F230" s="152" t="s">
        <v>118</v>
      </c>
      <c r="G230" s="239"/>
      <c r="H230" s="277">
        <f>IF($H$127="","",$H$127)</f>
        <v>0</v>
      </c>
      <c r="I230" s="277">
        <f>IF($I$127="","",$I$127)</f>
        <v>0</v>
      </c>
      <c r="J230" s="656"/>
      <c r="S230" s="19"/>
    </row>
    <row r="231" spans="1:19" ht="13.5" customHeight="1" thickBot="1">
      <c r="A231" s="12"/>
      <c r="B231" s="33"/>
      <c r="C231" s="6"/>
      <c r="D231" s="6"/>
      <c r="E231" s="45"/>
      <c r="F231" s="45" t="s">
        <v>59</v>
      </c>
      <c r="G231" s="239"/>
      <c r="H231" s="658">
        <f>IF($H$128="","",$H$128)</f>
        <v>0</v>
      </c>
      <c r="I231" s="658">
        <f>IF($I$128="","",$I$128)</f>
        <v>0</v>
      </c>
      <c r="J231" s="121"/>
      <c r="S231" s="19"/>
    </row>
    <row r="232" spans="1:19" ht="24" customHeight="1" thickBot="1">
      <c r="A232" s="12"/>
      <c r="B232" s="14"/>
      <c r="C232" s="14"/>
      <c r="D232" s="14"/>
      <c r="E232" s="14"/>
      <c r="F232" s="14"/>
      <c r="G232"/>
      <c r="H232" s="14"/>
      <c r="I232" s="14"/>
      <c r="J232" s="1"/>
      <c r="K232" s="1"/>
      <c r="L232" s="1"/>
      <c r="M232" s="1"/>
      <c r="N232" s="1"/>
      <c r="O232" s="1"/>
      <c r="P232" s="1"/>
      <c r="Q232" s="1"/>
      <c r="R232" s="1"/>
      <c r="S232" s="19"/>
    </row>
    <row r="233" spans="1:19" ht="12.75" customHeight="1" thickBot="1">
      <c r="A233" s="12"/>
      <c r="B233" s="198" t="s">
        <v>152</v>
      </c>
      <c r="C233" s="299">
        <f>IF($C$130="","",$C$130)</f>
      </c>
      <c r="D233" s="298"/>
      <c r="E233" s="297" t="s">
        <v>61</v>
      </c>
      <c r="F233" s="299">
        <f>IF($F$130="","",$F$130)</f>
        <v>0</v>
      </c>
      <c r="G233" s="102"/>
      <c r="H233" s="684" t="s">
        <v>145</v>
      </c>
      <c r="I233" s="684" t="s">
        <v>145</v>
      </c>
      <c r="J233" s="27"/>
      <c r="K233" s="684" t="s">
        <v>121</v>
      </c>
      <c r="L233" s="684" t="s">
        <v>121</v>
      </c>
      <c r="M233" s="102"/>
      <c r="N233" s="684" t="s">
        <v>122</v>
      </c>
      <c r="O233" s="684" t="s">
        <v>124</v>
      </c>
      <c r="P233" s="102"/>
      <c r="Q233" s="684" t="s">
        <v>124</v>
      </c>
      <c r="R233" s="684" t="s">
        <v>124</v>
      </c>
      <c r="S233" s="27"/>
    </row>
    <row r="234" spans="1:19" ht="12.75" customHeight="1">
      <c r="A234" s="12"/>
      <c r="B234" s="98" t="s">
        <v>63</v>
      </c>
      <c r="C234" s="723" t="s">
        <v>66</v>
      </c>
      <c r="D234" s="731" t="s">
        <v>127</v>
      </c>
      <c r="E234" s="723" t="s">
        <v>128</v>
      </c>
      <c r="F234" s="684" t="s">
        <v>153</v>
      </c>
      <c r="G234" s="102"/>
      <c r="H234" s="685" t="s">
        <v>147</v>
      </c>
      <c r="I234" s="685" t="s">
        <v>147</v>
      </c>
      <c r="J234" s="27"/>
      <c r="K234" s="685" t="s">
        <v>134</v>
      </c>
      <c r="L234" s="685" t="s">
        <v>130</v>
      </c>
      <c r="M234" s="102"/>
      <c r="N234" s="685" t="s">
        <v>131</v>
      </c>
      <c r="O234" s="685" t="s">
        <v>121</v>
      </c>
      <c r="P234" s="102"/>
      <c r="Q234" s="685" t="s">
        <v>154</v>
      </c>
      <c r="R234" s="685" t="s">
        <v>131</v>
      </c>
      <c r="S234" s="27"/>
    </row>
    <row r="235" spans="1:19" ht="12.75" customHeight="1">
      <c r="A235" s="12"/>
      <c r="B235" s="100"/>
      <c r="C235" s="724"/>
      <c r="D235" s="732" t="s">
        <v>133</v>
      </c>
      <c r="E235" s="724" t="s">
        <v>133</v>
      </c>
      <c r="F235" s="685" t="s">
        <v>133</v>
      </c>
      <c r="G235" s="102"/>
      <c r="H235" s="685" t="s">
        <v>13</v>
      </c>
      <c r="I235" s="685" t="s">
        <v>14</v>
      </c>
      <c r="J235" s="27"/>
      <c r="K235" s="685"/>
      <c r="L235" s="685" t="s">
        <v>134</v>
      </c>
      <c r="M235" s="102"/>
      <c r="N235" s="685"/>
      <c r="O235" s="685" t="s">
        <v>131</v>
      </c>
      <c r="P235" s="102"/>
      <c r="Q235" s="685" t="s">
        <v>131</v>
      </c>
      <c r="R235" s="685"/>
      <c r="S235" s="27"/>
    </row>
    <row r="236" spans="1:19" s="678" customFormat="1" ht="12.75" customHeight="1" thickBot="1">
      <c r="A236" s="674"/>
      <c r="B236" s="675" t="s">
        <v>67</v>
      </c>
      <c r="C236" s="725" t="s">
        <v>68</v>
      </c>
      <c r="D236" s="733" t="s">
        <v>68</v>
      </c>
      <c r="E236" s="686" t="s">
        <v>68</v>
      </c>
      <c r="F236" s="686" t="s">
        <v>68</v>
      </c>
      <c r="G236" s="681"/>
      <c r="H236" s="686" t="s">
        <v>68</v>
      </c>
      <c r="I236" s="686" t="s">
        <v>68</v>
      </c>
      <c r="J236" s="682"/>
      <c r="K236" s="686" t="s">
        <v>135</v>
      </c>
      <c r="L236" s="686" t="s">
        <v>136</v>
      </c>
      <c r="M236" s="681"/>
      <c r="N236" s="686" t="s">
        <v>137</v>
      </c>
      <c r="O236" s="686" t="s">
        <v>137</v>
      </c>
      <c r="P236" s="681"/>
      <c r="Q236" s="686" t="s">
        <v>137</v>
      </c>
      <c r="R236" s="686" t="s">
        <v>137</v>
      </c>
      <c r="S236" s="682"/>
    </row>
    <row r="237" spans="1:19" ht="12.75">
      <c r="A237" s="12"/>
      <c r="B237" s="194">
        <f>IF(B134="","",B134)</f>
        <v>0</v>
      </c>
      <c r="C237" s="726">
        <f aca="true" t="shared" si="20" ref="C237:C260">IF(C134="","",C134)</f>
      </c>
      <c r="D237" s="734"/>
      <c r="E237" s="728">
        <f aca="true" t="shared" si="21" ref="E237:F260">IF(E134="","",E134)</f>
        <v>0</v>
      </c>
      <c r="F237" s="728">
        <f t="shared" si="21"/>
        <v>0</v>
      </c>
      <c r="G237" s="226"/>
      <c r="H237" s="695">
        <f aca="true" t="shared" si="22" ref="H237:I260">IF(H166="","",H166)</f>
        <v>0</v>
      </c>
      <c r="I237" s="695">
        <f t="shared" si="22"/>
        <v>0</v>
      </c>
      <c r="J237" s="226"/>
      <c r="K237" s="695">
        <f aca="true" t="shared" si="23" ref="K237:L260">IF(H134="","",H134)</f>
        <v>0</v>
      </c>
      <c r="L237" s="705">
        <f t="shared" si="23"/>
        <v>0</v>
      </c>
      <c r="M237" s="226"/>
      <c r="N237" s="710"/>
      <c r="O237" s="696"/>
      <c r="P237" s="226"/>
      <c r="Q237" s="696"/>
      <c r="R237" s="696">
        <f aca="true" t="shared" si="24" ref="R237:R260">IF(L134="","",Q134)</f>
        <v>0</v>
      </c>
      <c r="S237" s="27"/>
    </row>
    <row r="238" spans="1:19" ht="12.75">
      <c r="A238" s="12"/>
      <c r="B238" s="194" t="str">
        <f aca="true" t="shared" si="25" ref="B238:B260">IF(B135="","",B135)</f>
        <v>1 A</v>
      </c>
      <c r="C238" s="726">
        <f t="shared" si="20"/>
      </c>
      <c r="D238" s="734"/>
      <c r="E238" s="728">
        <f t="shared" si="21"/>
        <v>0</v>
      </c>
      <c r="F238" s="728">
        <f t="shared" si="21"/>
        <v>0</v>
      </c>
      <c r="G238" s="226"/>
      <c r="H238" s="695">
        <f t="shared" si="22"/>
        <v>0</v>
      </c>
      <c r="I238" s="695">
        <f t="shared" si="22"/>
        <v>0</v>
      </c>
      <c r="J238" s="226"/>
      <c r="K238" s="695">
        <f t="shared" si="23"/>
        <v>0</v>
      </c>
      <c r="L238" s="696">
        <f t="shared" si="23"/>
        <v>0</v>
      </c>
      <c r="M238" s="226"/>
      <c r="N238" s="710">
        <f aca="true" t="shared" si="26" ref="N238:N260">IF(K135="","",K135)</f>
      </c>
      <c r="O238" s="696">
        <f aca="true" t="shared" si="27" ref="O238:O260">IF(N135="","",N135)</f>
      </c>
      <c r="P238" s="226"/>
      <c r="Q238" s="696">
        <f aca="true" t="shared" si="28" ref="Q238:Q260">IF(O135="","",O135)</f>
      </c>
      <c r="R238" s="696">
        <f t="shared" si="24"/>
        <v>0</v>
      </c>
      <c r="S238" s="27"/>
    </row>
    <row r="239" spans="1:19" ht="12.75">
      <c r="A239" s="12"/>
      <c r="B239" s="194" t="str">
        <f t="shared" si="25"/>
        <v>2 A</v>
      </c>
      <c r="C239" s="726">
        <f t="shared" si="20"/>
      </c>
      <c r="D239" s="734"/>
      <c r="E239" s="728">
        <f t="shared" si="21"/>
        <v>0</v>
      </c>
      <c r="F239" s="728">
        <f t="shared" si="21"/>
        <v>0</v>
      </c>
      <c r="G239" s="226"/>
      <c r="H239" s="695">
        <f t="shared" si="22"/>
        <v>0</v>
      </c>
      <c r="I239" s="695">
        <f t="shared" si="22"/>
        <v>0</v>
      </c>
      <c r="J239" s="226"/>
      <c r="K239" s="695">
        <f t="shared" si="23"/>
        <v>0</v>
      </c>
      <c r="L239" s="696">
        <f t="shared" si="23"/>
        <v>0</v>
      </c>
      <c r="M239" s="226"/>
      <c r="N239" s="710">
        <f t="shared" si="26"/>
      </c>
      <c r="O239" s="696">
        <f t="shared" si="27"/>
      </c>
      <c r="P239" s="226"/>
      <c r="Q239" s="696">
        <f t="shared" si="28"/>
      </c>
      <c r="R239" s="696">
        <f t="shared" si="24"/>
        <v>0</v>
      </c>
      <c r="S239" s="27"/>
    </row>
    <row r="240" spans="1:19" ht="12.75">
      <c r="A240" s="12"/>
      <c r="B240" s="194" t="str">
        <f t="shared" si="25"/>
        <v>3 A</v>
      </c>
      <c r="C240" s="726">
        <f t="shared" si="20"/>
      </c>
      <c r="D240" s="734"/>
      <c r="E240" s="728">
        <f t="shared" si="21"/>
        <v>0</v>
      </c>
      <c r="F240" s="728">
        <f t="shared" si="21"/>
        <v>0</v>
      </c>
      <c r="G240" s="226"/>
      <c r="H240" s="695">
        <f t="shared" si="22"/>
        <v>0</v>
      </c>
      <c r="I240" s="695">
        <f t="shared" si="22"/>
        <v>0</v>
      </c>
      <c r="J240" s="226"/>
      <c r="K240" s="695">
        <f t="shared" si="23"/>
        <v>0</v>
      </c>
      <c r="L240" s="696">
        <f t="shared" si="23"/>
        <v>0</v>
      </c>
      <c r="M240" s="226"/>
      <c r="N240" s="710">
        <f t="shared" si="26"/>
      </c>
      <c r="O240" s="696">
        <f t="shared" si="27"/>
      </c>
      <c r="P240" s="226"/>
      <c r="Q240" s="696">
        <f t="shared" si="28"/>
      </c>
      <c r="R240" s="696">
        <f t="shared" si="24"/>
        <v>0</v>
      </c>
      <c r="S240" s="27"/>
    </row>
    <row r="241" spans="1:19" ht="12.75">
      <c r="A241" s="12"/>
      <c r="B241" s="194" t="str">
        <f t="shared" si="25"/>
        <v>4 A</v>
      </c>
      <c r="C241" s="726">
        <f t="shared" si="20"/>
      </c>
      <c r="D241" s="734"/>
      <c r="E241" s="728">
        <f t="shared" si="21"/>
        <v>0</v>
      </c>
      <c r="F241" s="728">
        <f t="shared" si="21"/>
        <v>0</v>
      </c>
      <c r="G241" s="226"/>
      <c r="H241" s="695">
        <f t="shared" si="22"/>
        <v>0</v>
      </c>
      <c r="I241" s="695">
        <f t="shared" si="22"/>
        <v>0</v>
      </c>
      <c r="J241" s="226"/>
      <c r="K241" s="695">
        <f t="shared" si="23"/>
        <v>0</v>
      </c>
      <c r="L241" s="696">
        <f t="shared" si="23"/>
        <v>0</v>
      </c>
      <c r="M241" s="226"/>
      <c r="N241" s="710">
        <f t="shared" si="26"/>
      </c>
      <c r="O241" s="696">
        <f t="shared" si="27"/>
      </c>
      <c r="P241" s="226"/>
      <c r="Q241" s="696">
        <f t="shared" si="28"/>
      </c>
      <c r="R241" s="696">
        <f t="shared" si="24"/>
        <v>0</v>
      </c>
      <c r="S241" s="27"/>
    </row>
    <row r="242" spans="1:19" ht="12.75">
      <c r="A242" s="12"/>
      <c r="B242" s="194" t="str">
        <f t="shared" si="25"/>
        <v>5 A</v>
      </c>
      <c r="C242" s="726">
        <f t="shared" si="20"/>
      </c>
      <c r="D242" s="734"/>
      <c r="E242" s="728">
        <f t="shared" si="21"/>
        <v>0</v>
      </c>
      <c r="F242" s="728">
        <f t="shared" si="21"/>
        <v>0</v>
      </c>
      <c r="G242" s="226"/>
      <c r="H242" s="695">
        <f t="shared" si="22"/>
        <v>0</v>
      </c>
      <c r="I242" s="695">
        <f t="shared" si="22"/>
        <v>0</v>
      </c>
      <c r="J242" s="226"/>
      <c r="K242" s="695">
        <f t="shared" si="23"/>
        <v>0</v>
      </c>
      <c r="L242" s="696">
        <f t="shared" si="23"/>
        <v>0</v>
      </c>
      <c r="M242" s="226"/>
      <c r="N242" s="710">
        <f t="shared" si="26"/>
      </c>
      <c r="O242" s="696">
        <f t="shared" si="27"/>
      </c>
      <c r="P242" s="226"/>
      <c r="Q242" s="696">
        <f t="shared" si="28"/>
      </c>
      <c r="R242" s="696">
        <f t="shared" si="24"/>
        <v>0</v>
      </c>
      <c r="S242" s="27"/>
    </row>
    <row r="243" spans="1:19" ht="12.75">
      <c r="A243" s="12"/>
      <c r="B243" s="194" t="str">
        <f t="shared" si="25"/>
        <v>6 A</v>
      </c>
      <c r="C243" s="726">
        <f t="shared" si="20"/>
      </c>
      <c r="D243" s="734"/>
      <c r="E243" s="728">
        <f t="shared" si="21"/>
        <v>0</v>
      </c>
      <c r="F243" s="728">
        <f t="shared" si="21"/>
        <v>0</v>
      </c>
      <c r="G243" s="226"/>
      <c r="H243" s="695">
        <f t="shared" si="22"/>
        <v>0</v>
      </c>
      <c r="I243" s="695">
        <f t="shared" si="22"/>
        <v>0</v>
      </c>
      <c r="J243" s="226"/>
      <c r="K243" s="695">
        <f t="shared" si="23"/>
        <v>0</v>
      </c>
      <c r="L243" s="696">
        <f t="shared" si="23"/>
        <v>0</v>
      </c>
      <c r="M243" s="226"/>
      <c r="N243" s="710">
        <f t="shared" si="26"/>
      </c>
      <c r="O243" s="696">
        <f t="shared" si="27"/>
      </c>
      <c r="P243" s="226"/>
      <c r="Q243" s="696">
        <f t="shared" si="28"/>
      </c>
      <c r="R243" s="696">
        <f t="shared" si="24"/>
        <v>0</v>
      </c>
      <c r="S243" s="27"/>
    </row>
    <row r="244" spans="1:19" ht="12.75">
      <c r="A244" s="12"/>
      <c r="B244" s="194" t="str">
        <f t="shared" si="25"/>
        <v>7 A</v>
      </c>
      <c r="C244" s="726">
        <f t="shared" si="20"/>
      </c>
      <c r="D244" s="734"/>
      <c r="E244" s="728">
        <f t="shared" si="21"/>
        <v>0</v>
      </c>
      <c r="F244" s="728">
        <f t="shared" si="21"/>
        <v>0</v>
      </c>
      <c r="G244" s="226"/>
      <c r="H244" s="695">
        <f t="shared" si="22"/>
        <v>0</v>
      </c>
      <c r="I244" s="695">
        <f t="shared" si="22"/>
        <v>0</v>
      </c>
      <c r="J244" s="226"/>
      <c r="K244" s="695">
        <f t="shared" si="23"/>
        <v>0</v>
      </c>
      <c r="L244" s="696">
        <f t="shared" si="23"/>
        <v>0</v>
      </c>
      <c r="M244" s="226"/>
      <c r="N244" s="710">
        <f t="shared" si="26"/>
      </c>
      <c r="O244" s="696">
        <f t="shared" si="27"/>
      </c>
      <c r="P244" s="226"/>
      <c r="Q244" s="696">
        <f t="shared" si="28"/>
      </c>
      <c r="R244" s="696">
        <f t="shared" si="24"/>
        <v>0</v>
      </c>
      <c r="S244" s="27"/>
    </row>
    <row r="245" spans="1:19" ht="12.75">
      <c r="A245" s="12"/>
      <c r="B245" s="194" t="str">
        <f t="shared" si="25"/>
        <v>8 A</v>
      </c>
      <c r="C245" s="726">
        <f t="shared" si="20"/>
      </c>
      <c r="D245" s="734"/>
      <c r="E245" s="728">
        <f t="shared" si="21"/>
        <v>0</v>
      </c>
      <c r="F245" s="728">
        <f t="shared" si="21"/>
        <v>0</v>
      </c>
      <c r="G245" s="226"/>
      <c r="H245" s="695">
        <f t="shared" si="22"/>
        <v>0</v>
      </c>
      <c r="I245" s="695">
        <f t="shared" si="22"/>
        <v>0</v>
      </c>
      <c r="J245" s="226"/>
      <c r="K245" s="695">
        <f t="shared" si="23"/>
        <v>0</v>
      </c>
      <c r="L245" s="696">
        <f t="shared" si="23"/>
        <v>0</v>
      </c>
      <c r="M245" s="226"/>
      <c r="N245" s="710">
        <f t="shared" si="26"/>
      </c>
      <c r="O245" s="696">
        <f t="shared" si="27"/>
      </c>
      <c r="P245" s="226"/>
      <c r="Q245" s="696">
        <f t="shared" si="28"/>
      </c>
      <c r="R245" s="696">
        <f t="shared" si="24"/>
        <v>0</v>
      </c>
      <c r="S245" s="27"/>
    </row>
    <row r="246" spans="1:19" ht="12.75">
      <c r="A246" s="12"/>
      <c r="B246" s="194" t="str">
        <f t="shared" si="25"/>
        <v>9 A</v>
      </c>
      <c r="C246" s="726">
        <f t="shared" si="20"/>
      </c>
      <c r="D246" s="734"/>
      <c r="E246" s="728">
        <f t="shared" si="21"/>
        <v>0</v>
      </c>
      <c r="F246" s="728">
        <f t="shared" si="21"/>
        <v>0</v>
      </c>
      <c r="G246" s="226"/>
      <c r="H246" s="695">
        <f t="shared" si="22"/>
        <v>0</v>
      </c>
      <c r="I246" s="695">
        <f t="shared" si="22"/>
        <v>0</v>
      </c>
      <c r="J246" s="226"/>
      <c r="K246" s="695">
        <f t="shared" si="23"/>
        <v>0</v>
      </c>
      <c r="L246" s="696">
        <f t="shared" si="23"/>
        <v>0</v>
      </c>
      <c r="M246" s="226"/>
      <c r="N246" s="710">
        <f t="shared" si="26"/>
      </c>
      <c r="O246" s="696">
        <f t="shared" si="27"/>
      </c>
      <c r="P246" s="226"/>
      <c r="Q246" s="696">
        <f t="shared" si="28"/>
      </c>
      <c r="R246" s="696">
        <f t="shared" si="24"/>
        <v>0</v>
      </c>
      <c r="S246" s="27"/>
    </row>
    <row r="247" spans="1:19" ht="12.75">
      <c r="A247" s="12"/>
      <c r="B247" s="194" t="str">
        <f t="shared" si="25"/>
        <v>10 A</v>
      </c>
      <c r="C247" s="726">
        <f t="shared" si="20"/>
      </c>
      <c r="D247" s="734"/>
      <c r="E247" s="728">
        <f t="shared" si="21"/>
        <v>0</v>
      </c>
      <c r="F247" s="728">
        <f t="shared" si="21"/>
        <v>0</v>
      </c>
      <c r="G247" s="226"/>
      <c r="H247" s="695">
        <f t="shared" si="22"/>
        <v>0</v>
      </c>
      <c r="I247" s="695">
        <f t="shared" si="22"/>
        <v>0</v>
      </c>
      <c r="J247" s="226"/>
      <c r="K247" s="695">
        <f t="shared" si="23"/>
        <v>0</v>
      </c>
      <c r="L247" s="696">
        <f t="shared" si="23"/>
        <v>0</v>
      </c>
      <c r="M247" s="226"/>
      <c r="N247" s="710">
        <f t="shared" si="26"/>
      </c>
      <c r="O247" s="696">
        <f t="shared" si="27"/>
      </c>
      <c r="P247" s="226"/>
      <c r="Q247" s="696">
        <f t="shared" si="28"/>
      </c>
      <c r="R247" s="696">
        <f t="shared" si="24"/>
        <v>0</v>
      </c>
      <c r="S247" s="27"/>
    </row>
    <row r="248" spans="1:19" ht="12.75">
      <c r="A248" s="12"/>
      <c r="B248" s="194" t="str">
        <f t="shared" si="25"/>
        <v>11 A</v>
      </c>
      <c r="C248" s="726">
        <f t="shared" si="20"/>
      </c>
      <c r="D248" s="734"/>
      <c r="E248" s="728">
        <f t="shared" si="21"/>
        <v>0</v>
      </c>
      <c r="F248" s="728">
        <f t="shared" si="21"/>
        <v>0</v>
      </c>
      <c r="G248" s="226"/>
      <c r="H248" s="695">
        <f t="shared" si="22"/>
        <v>0</v>
      </c>
      <c r="I248" s="695">
        <f t="shared" si="22"/>
        <v>0</v>
      </c>
      <c r="J248" s="226"/>
      <c r="K248" s="695">
        <f t="shared" si="23"/>
        <v>0</v>
      </c>
      <c r="L248" s="696">
        <f t="shared" si="23"/>
        <v>0</v>
      </c>
      <c r="M248" s="226"/>
      <c r="N248" s="710">
        <f t="shared" si="26"/>
      </c>
      <c r="O248" s="696">
        <f t="shared" si="27"/>
      </c>
      <c r="P248" s="226"/>
      <c r="Q248" s="696">
        <f t="shared" si="28"/>
      </c>
      <c r="R248" s="696">
        <f t="shared" si="24"/>
        <v>0</v>
      </c>
      <c r="S248" s="27"/>
    </row>
    <row r="249" spans="1:19" ht="12.75">
      <c r="A249" s="12"/>
      <c r="B249" s="194" t="str">
        <f t="shared" si="25"/>
        <v>12 P</v>
      </c>
      <c r="C249" s="726">
        <f t="shared" si="20"/>
      </c>
      <c r="D249" s="734"/>
      <c r="E249" s="728">
        <f t="shared" si="21"/>
        <v>0</v>
      </c>
      <c r="F249" s="728">
        <f t="shared" si="21"/>
        <v>0</v>
      </c>
      <c r="G249" s="226"/>
      <c r="H249" s="695">
        <f t="shared" si="22"/>
        <v>0</v>
      </c>
      <c r="I249" s="695">
        <f t="shared" si="22"/>
        <v>0</v>
      </c>
      <c r="J249" s="226"/>
      <c r="K249" s="695">
        <f t="shared" si="23"/>
        <v>0</v>
      </c>
      <c r="L249" s="696">
        <f t="shared" si="23"/>
        <v>0</v>
      </c>
      <c r="M249" s="226"/>
      <c r="N249" s="710">
        <f t="shared" si="26"/>
      </c>
      <c r="O249" s="696">
        <f t="shared" si="27"/>
      </c>
      <c r="P249" s="226"/>
      <c r="Q249" s="696">
        <f t="shared" si="28"/>
      </c>
      <c r="R249" s="696">
        <f t="shared" si="24"/>
        <v>0</v>
      </c>
      <c r="S249" s="27"/>
    </row>
    <row r="250" spans="1:19" ht="12.75">
      <c r="A250" s="12"/>
      <c r="B250" s="194" t="str">
        <f t="shared" si="25"/>
        <v>1 P</v>
      </c>
      <c r="C250" s="726">
        <f t="shared" si="20"/>
      </c>
      <c r="D250" s="734"/>
      <c r="E250" s="728">
        <f t="shared" si="21"/>
        <v>0</v>
      </c>
      <c r="F250" s="728">
        <f t="shared" si="21"/>
        <v>0</v>
      </c>
      <c r="G250" s="226"/>
      <c r="H250" s="695">
        <f t="shared" si="22"/>
        <v>0</v>
      </c>
      <c r="I250" s="695">
        <f t="shared" si="22"/>
        <v>0</v>
      </c>
      <c r="J250" s="226"/>
      <c r="K250" s="695">
        <f t="shared" si="23"/>
        <v>0</v>
      </c>
      <c r="L250" s="696">
        <f t="shared" si="23"/>
        <v>0</v>
      </c>
      <c r="M250" s="226"/>
      <c r="N250" s="710">
        <f t="shared" si="26"/>
      </c>
      <c r="O250" s="696">
        <f t="shared" si="27"/>
      </c>
      <c r="P250" s="226"/>
      <c r="Q250" s="696">
        <f t="shared" si="28"/>
      </c>
      <c r="R250" s="696">
        <f t="shared" si="24"/>
        <v>0</v>
      </c>
      <c r="S250" s="27"/>
    </row>
    <row r="251" spans="1:19" ht="12.75">
      <c r="A251" s="12"/>
      <c r="B251" s="194" t="str">
        <f t="shared" si="25"/>
        <v>2 P</v>
      </c>
      <c r="C251" s="726">
        <f t="shared" si="20"/>
      </c>
      <c r="D251" s="734"/>
      <c r="E251" s="728">
        <f t="shared" si="21"/>
        <v>0</v>
      </c>
      <c r="F251" s="728">
        <f t="shared" si="21"/>
        <v>0</v>
      </c>
      <c r="G251" s="226"/>
      <c r="H251" s="695">
        <f t="shared" si="22"/>
        <v>0</v>
      </c>
      <c r="I251" s="695">
        <f t="shared" si="22"/>
        <v>0</v>
      </c>
      <c r="J251" s="226"/>
      <c r="K251" s="695">
        <f t="shared" si="23"/>
        <v>0</v>
      </c>
      <c r="L251" s="696">
        <f t="shared" si="23"/>
        <v>0</v>
      </c>
      <c r="M251" s="226"/>
      <c r="N251" s="710">
        <f t="shared" si="26"/>
      </c>
      <c r="O251" s="696">
        <f t="shared" si="27"/>
      </c>
      <c r="P251" s="226"/>
      <c r="Q251" s="696">
        <f t="shared" si="28"/>
      </c>
      <c r="R251" s="696">
        <f t="shared" si="24"/>
        <v>0</v>
      </c>
      <c r="S251" s="27"/>
    </row>
    <row r="252" spans="1:19" ht="12.75">
      <c r="A252" s="12"/>
      <c r="B252" s="194" t="str">
        <f t="shared" si="25"/>
        <v>3 P</v>
      </c>
      <c r="C252" s="726">
        <f t="shared" si="20"/>
      </c>
      <c r="D252" s="734"/>
      <c r="E252" s="728">
        <f t="shared" si="21"/>
        <v>0</v>
      </c>
      <c r="F252" s="728">
        <f t="shared" si="21"/>
        <v>0</v>
      </c>
      <c r="G252" s="226"/>
      <c r="H252" s="695">
        <f t="shared" si="22"/>
        <v>0</v>
      </c>
      <c r="I252" s="695">
        <f t="shared" si="22"/>
        <v>0</v>
      </c>
      <c r="J252" s="226"/>
      <c r="K252" s="695">
        <f t="shared" si="23"/>
        <v>0</v>
      </c>
      <c r="L252" s="696">
        <f t="shared" si="23"/>
        <v>0</v>
      </c>
      <c r="M252" s="226"/>
      <c r="N252" s="710">
        <f t="shared" si="26"/>
      </c>
      <c r="O252" s="696">
        <f t="shared" si="27"/>
      </c>
      <c r="P252" s="226"/>
      <c r="Q252" s="696">
        <f t="shared" si="28"/>
      </c>
      <c r="R252" s="696">
        <f t="shared" si="24"/>
        <v>0</v>
      </c>
      <c r="S252" s="27"/>
    </row>
    <row r="253" spans="1:19" ht="12.75">
      <c r="A253" s="12"/>
      <c r="B253" s="194" t="str">
        <f t="shared" si="25"/>
        <v>4 P</v>
      </c>
      <c r="C253" s="726">
        <f t="shared" si="20"/>
      </c>
      <c r="D253" s="734"/>
      <c r="E253" s="728">
        <f t="shared" si="21"/>
        <v>0</v>
      </c>
      <c r="F253" s="728">
        <f t="shared" si="21"/>
        <v>0</v>
      </c>
      <c r="G253" s="226"/>
      <c r="H253" s="695">
        <f t="shared" si="22"/>
        <v>0</v>
      </c>
      <c r="I253" s="695">
        <f t="shared" si="22"/>
        <v>0</v>
      </c>
      <c r="J253" s="226"/>
      <c r="K253" s="695">
        <f t="shared" si="23"/>
        <v>0</v>
      </c>
      <c r="L253" s="696">
        <f t="shared" si="23"/>
        <v>0</v>
      </c>
      <c r="M253" s="226"/>
      <c r="N253" s="710">
        <f t="shared" si="26"/>
      </c>
      <c r="O253" s="696">
        <f t="shared" si="27"/>
      </c>
      <c r="P253" s="226"/>
      <c r="Q253" s="696">
        <f t="shared" si="28"/>
      </c>
      <c r="R253" s="696">
        <f t="shared" si="24"/>
        <v>0</v>
      </c>
      <c r="S253" s="27"/>
    </row>
    <row r="254" spans="1:19" ht="12.75">
      <c r="A254" s="12"/>
      <c r="B254" s="194" t="str">
        <f t="shared" si="25"/>
        <v>5 P</v>
      </c>
      <c r="C254" s="726">
        <f t="shared" si="20"/>
      </c>
      <c r="D254" s="734"/>
      <c r="E254" s="728">
        <f t="shared" si="21"/>
        <v>0</v>
      </c>
      <c r="F254" s="728">
        <f t="shared" si="21"/>
        <v>0</v>
      </c>
      <c r="G254" s="226"/>
      <c r="H254" s="695">
        <f t="shared" si="22"/>
        <v>0</v>
      </c>
      <c r="I254" s="695">
        <f t="shared" si="22"/>
        <v>0</v>
      </c>
      <c r="J254" s="226"/>
      <c r="K254" s="695">
        <f t="shared" si="23"/>
        <v>0</v>
      </c>
      <c r="L254" s="696">
        <f t="shared" si="23"/>
        <v>0</v>
      </c>
      <c r="M254" s="226"/>
      <c r="N254" s="710">
        <f t="shared" si="26"/>
      </c>
      <c r="O254" s="696">
        <f t="shared" si="27"/>
      </c>
      <c r="P254" s="226"/>
      <c r="Q254" s="696">
        <f t="shared" si="28"/>
      </c>
      <c r="R254" s="696">
        <f t="shared" si="24"/>
        <v>0</v>
      </c>
      <c r="S254" s="27"/>
    </row>
    <row r="255" spans="1:43" s="71" customFormat="1" ht="12.75">
      <c r="A255" s="107"/>
      <c r="B255" s="194" t="str">
        <f t="shared" si="25"/>
        <v>6 P</v>
      </c>
      <c r="C255" s="726">
        <f t="shared" si="20"/>
      </c>
      <c r="D255" s="734"/>
      <c r="E255" s="728">
        <f t="shared" si="21"/>
        <v>0</v>
      </c>
      <c r="F255" s="728">
        <f t="shared" si="21"/>
        <v>0</v>
      </c>
      <c r="G255" s="226"/>
      <c r="H255" s="695">
        <f t="shared" si="22"/>
        <v>0</v>
      </c>
      <c r="I255" s="695">
        <f t="shared" si="22"/>
        <v>0</v>
      </c>
      <c r="J255" s="226"/>
      <c r="K255" s="695">
        <f t="shared" si="23"/>
        <v>0</v>
      </c>
      <c r="L255" s="696">
        <f t="shared" si="23"/>
        <v>0</v>
      </c>
      <c r="M255" s="226"/>
      <c r="N255" s="710">
        <f t="shared" si="26"/>
      </c>
      <c r="O255" s="696">
        <f t="shared" si="27"/>
      </c>
      <c r="P255" s="226"/>
      <c r="Q255" s="696">
        <f t="shared" si="28"/>
      </c>
      <c r="R255" s="696">
        <f t="shared" si="24"/>
        <v>0</v>
      </c>
      <c r="S255" s="27"/>
      <c r="T255"/>
      <c r="U255"/>
      <c r="V255"/>
      <c r="W255"/>
      <c r="X255"/>
      <c r="Y255"/>
      <c r="Z255"/>
      <c r="AA255"/>
      <c r="AB255"/>
      <c r="AC255"/>
      <c r="AD255"/>
      <c r="AE255"/>
      <c r="AF255"/>
      <c r="AG255"/>
      <c r="AH255"/>
      <c r="AI255"/>
      <c r="AJ255"/>
      <c r="AK255"/>
      <c r="AL255"/>
      <c r="AM255"/>
      <c r="AN255"/>
      <c r="AO255"/>
      <c r="AP255"/>
      <c r="AQ255"/>
    </row>
    <row r="256" spans="1:19" ht="12.75">
      <c r="A256" s="12"/>
      <c r="B256" s="194" t="str">
        <f t="shared" si="25"/>
        <v>7 P</v>
      </c>
      <c r="C256" s="726">
        <f t="shared" si="20"/>
      </c>
      <c r="D256" s="734"/>
      <c r="E256" s="728">
        <f t="shared" si="21"/>
        <v>0</v>
      </c>
      <c r="F256" s="728">
        <f t="shared" si="21"/>
        <v>0</v>
      </c>
      <c r="G256" s="226"/>
      <c r="H256" s="695">
        <f t="shared" si="22"/>
        <v>0</v>
      </c>
      <c r="I256" s="695">
        <f t="shared" si="22"/>
        <v>0</v>
      </c>
      <c r="J256" s="226"/>
      <c r="K256" s="695">
        <f t="shared" si="23"/>
        <v>0</v>
      </c>
      <c r="L256" s="696">
        <f t="shared" si="23"/>
        <v>0</v>
      </c>
      <c r="M256" s="226"/>
      <c r="N256" s="710">
        <f t="shared" si="26"/>
      </c>
      <c r="O256" s="696">
        <f t="shared" si="27"/>
      </c>
      <c r="P256" s="226"/>
      <c r="Q256" s="696">
        <f t="shared" si="28"/>
      </c>
      <c r="R256" s="696">
        <f t="shared" si="24"/>
        <v>0</v>
      </c>
      <c r="S256" s="27"/>
    </row>
    <row r="257" spans="1:19" ht="12.75">
      <c r="A257" s="12"/>
      <c r="B257" s="194" t="str">
        <f t="shared" si="25"/>
        <v>8 P</v>
      </c>
      <c r="C257" s="726">
        <f t="shared" si="20"/>
      </c>
      <c r="D257" s="734"/>
      <c r="E257" s="728">
        <f t="shared" si="21"/>
        <v>0</v>
      </c>
      <c r="F257" s="728">
        <f t="shared" si="21"/>
        <v>0</v>
      </c>
      <c r="G257" s="226"/>
      <c r="H257" s="695">
        <f t="shared" si="22"/>
        <v>0</v>
      </c>
      <c r="I257" s="695">
        <f t="shared" si="22"/>
        <v>0</v>
      </c>
      <c r="J257" s="226"/>
      <c r="K257" s="695">
        <f t="shared" si="23"/>
        <v>0</v>
      </c>
      <c r="L257" s="696">
        <f t="shared" si="23"/>
        <v>0</v>
      </c>
      <c r="M257" s="226"/>
      <c r="N257" s="710">
        <f t="shared" si="26"/>
      </c>
      <c r="O257" s="696">
        <f t="shared" si="27"/>
      </c>
      <c r="P257" s="226"/>
      <c r="Q257" s="696">
        <f t="shared" si="28"/>
      </c>
      <c r="R257" s="696">
        <f t="shared" si="24"/>
        <v>0</v>
      </c>
      <c r="S257" s="27"/>
    </row>
    <row r="258" spans="1:19" ht="12.75">
      <c r="A258" s="12"/>
      <c r="B258" s="194" t="str">
        <f t="shared" si="25"/>
        <v>9 P</v>
      </c>
      <c r="C258" s="726">
        <f t="shared" si="20"/>
      </c>
      <c r="D258" s="734"/>
      <c r="E258" s="728">
        <f t="shared" si="21"/>
        <v>0</v>
      </c>
      <c r="F258" s="728">
        <f t="shared" si="21"/>
        <v>0</v>
      </c>
      <c r="G258" s="226"/>
      <c r="H258" s="695">
        <f t="shared" si="22"/>
        <v>0</v>
      </c>
      <c r="I258" s="695">
        <f t="shared" si="22"/>
        <v>0</v>
      </c>
      <c r="J258" s="226"/>
      <c r="K258" s="695">
        <f t="shared" si="23"/>
        <v>0</v>
      </c>
      <c r="L258" s="696">
        <f t="shared" si="23"/>
        <v>0</v>
      </c>
      <c r="M258" s="226"/>
      <c r="N258" s="710">
        <f t="shared" si="26"/>
      </c>
      <c r="O258" s="696">
        <f t="shared" si="27"/>
      </c>
      <c r="P258" s="226"/>
      <c r="Q258" s="696">
        <f t="shared" si="28"/>
      </c>
      <c r="R258" s="696">
        <f t="shared" si="24"/>
        <v>0</v>
      </c>
      <c r="S258" s="27"/>
    </row>
    <row r="259" spans="1:19" ht="12.75">
      <c r="A259" s="12"/>
      <c r="B259" s="194" t="str">
        <f t="shared" si="25"/>
        <v>10 P</v>
      </c>
      <c r="C259" s="726">
        <f t="shared" si="20"/>
      </c>
      <c r="D259" s="734"/>
      <c r="E259" s="728">
        <f t="shared" si="21"/>
        <v>0</v>
      </c>
      <c r="F259" s="728">
        <f t="shared" si="21"/>
        <v>0</v>
      </c>
      <c r="G259" s="226"/>
      <c r="H259" s="695">
        <f t="shared" si="22"/>
        <v>0</v>
      </c>
      <c r="I259" s="695">
        <f t="shared" si="22"/>
        <v>0</v>
      </c>
      <c r="J259" s="226"/>
      <c r="K259" s="695">
        <f t="shared" si="23"/>
        <v>0</v>
      </c>
      <c r="L259" s="696">
        <f t="shared" si="23"/>
        <v>0</v>
      </c>
      <c r="M259" s="226"/>
      <c r="N259" s="710">
        <f t="shared" si="26"/>
      </c>
      <c r="O259" s="696">
        <f t="shared" si="27"/>
      </c>
      <c r="P259" s="226"/>
      <c r="Q259" s="696">
        <f t="shared" si="28"/>
      </c>
      <c r="R259" s="696">
        <f t="shared" si="24"/>
        <v>0</v>
      </c>
      <c r="S259" s="27"/>
    </row>
    <row r="260" spans="1:19" ht="13.5" thickBot="1">
      <c r="A260" s="12"/>
      <c r="B260" s="194" t="str">
        <f t="shared" si="25"/>
        <v>11 P</v>
      </c>
      <c r="C260" s="729">
        <f t="shared" si="20"/>
      </c>
      <c r="D260" s="735"/>
      <c r="E260" s="730">
        <f t="shared" si="21"/>
        <v>0</v>
      </c>
      <c r="F260" s="730">
        <f t="shared" si="21"/>
        <v>0</v>
      </c>
      <c r="G260" s="226"/>
      <c r="H260" s="695">
        <f t="shared" si="22"/>
        <v>0</v>
      </c>
      <c r="I260" s="695">
        <f t="shared" si="22"/>
        <v>0</v>
      </c>
      <c r="J260" s="226"/>
      <c r="K260" s="706">
        <f t="shared" si="23"/>
        <v>0</v>
      </c>
      <c r="L260" s="707">
        <f t="shared" si="23"/>
        <v>0</v>
      </c>
      <c r="M260" s="226"/>
      <c r="N260" s="711">
        <f t="shared" si="26"/>
      </c>
      <c r="O260" s="707">
        <f t="shared" si="27"/>
      </c>
      <c r="P260" s="226"/>
      <c r="Q260" s="707">
        <f t="shared" si="28"/>
      </c>
      <c r="R260" s="707">
        <f t="shared" si="24"/>
        <v>0</v>
      </c>
      <c r="S260" s="27"/>
    </row>
    <row r="261" spans="1:19" ht="12.75">
      <c r="A261" s="12"/>
      <c r="B261" s="108" t="s">
        <v>139</v>
      </c>
      <c r="C261" s="110">
        <f>SUM(C237:C260)</f>
        <v>0</v>
      </c>
      <c r="D261" s="111">
        <f>SUM(D237:D260)</f>
        <v>0</v>
      </c>
      <c r="E261" s="683">
        <f>SUM(E237:E260)</f>
        <v>0</v>
      </c>
      <c r="F261" s="110">
        <f>SUM(F237:F260)</f>
        <v>0</v>
      </c>
      <c r="G261" s="226"/>
      <c r="H261" s="110">
        <f>SUM(H237:H260)</f>
        <v>0</v>
      </c>
      <c r="I261" s="110">
        <f>SUM(I237:I260)</f>
        <v>0</v>
      </c>
      <c r="J261" s="226"/>
      <c r="K261" s="110"/>
      <c r="L261" s="705"/>
      <c r="M261" s="226"/>
      <c r="N261" s="110"/>
      <c r="O261" s="705"/>
      <c r="P261" s="226"/>
      <c r="Q261" s="705"/>
      <c r="R261" s="110"/>
      <c r="S261" s="27"/>
    </row>
    <row r="262" spans="1:19" ht="12.75">
      <c r="A262" s="12"/>
      <c r="B262" s="112" t="s">
        <v>141</v>
      </c>
      <c r="C262" s="127">
        <f aca="true" t="shared" si="29" ref="C262:R262">MAX(C237:C260)</f>
        <v>0</v>
      </c>
      <c r="D262" s="736">
        <f t="shared" si="29"/>
        <v>0</v>
      </c>
      <c r="E262" s="128">
        <f t="shared" si="29"/>
        <v>0</v>
      </c>
      <c r="F262" s="114">
        <f t="shared" si="29"/>
        <v>0</v>
      </c>
      <c r="G262" s="226">
        <f t="shared" si="29"/>
        <v>0</v>
      </c>
      <c r="H262" s="114">
        <f t="shared" si="29"/>
        <v>0</v>
      </c>
      <c r="I262" s="114">
        <f t="shared" si="29"/>
        <v>0</v>
      </c>
      <c r="J262" s="226">
        <f t="shared" si="29"/>
        <v>0</v>
      </c>
      <c r="K262" s="114">
        <f t="shared" si="29"/>
        <v>0</v>
      </c>
      <c r="L262" s="708">
        <f t="shared" si="29"/>
        <v>0</v>
      </c>
      <c r="M262" s="226">
        <f t="shared" si="29"/>
        <v>0</v>
      </c>
      <c r="N262" s="708">
        <f t="shared" si="29"/>
        <v>0</v>
      </c>
      <c r="O262" s="708">
        <f t="shared" si="29"/>
        <v>0</v>
      </c>
      <c r="P262" s="226">
        <f t="shared" si="29"/>
        <v>0</v>
      </c>
      <c r="Q262" s="708">
        <f t="shared" si="29"/>
        <v>0</v>
      </c>
      <c r="R262" s="708">
        <f t="shared" si="29"/>
        <v>0</v>
      </c>
      <c r="S262" s="27"/>
    </row>
    <row r="263" spans="1:19" ht="13.5" thickBot="1">
      <c r="A263" s="12"/>
      <c r="B263" s="115" t="s">
        <v>142</v>
      </c>
      <c r="C263" s="131">
        <f aca="true" t="shared" si="30" ref="C263:R263">MIN(C237:C260)</f>
        <v>0</v>
      </c>
      <c r="D263" s="737">
        <f t="shared" si="30"/>
        <v>0</v>
      </c>
      <c r="E263" s="132">
        <f t="shared" si="30"/>
        <v>0</v>
      </c>
      <c r="F263" s="117">
        <f t="shared" si="30"/>
        <v>0</v>
      </c>
      <c r="G263" s="226">
        <f t="shared" si="30"/>
        <v>0</v>
      </c>
      <c r="H263" s="117">
        <f t="shared" si="30"/>
        <v>0</v>
      </c>
      <c r="I263" s="117">
        <f t="shared" si="30"/>
        <v>0</v>
      </c>
      <c r="J263" s="226">
        <f t="shared" si="30"/>
        <v>0</v>
      </c>
      <c r="K263" s="117">
        <f t="shared" si="30"/>
        <v>0</v>
      </c>
      <c r="L263" s="709">
        <f t="shared" si="30"/>
        <v>0</v>
      </c>
      <c r="M263" s="226">
        <f t="shared" si="30"/>
        <v>0</v>
      </c>
      <c r="N263" s="709">
        <f t="shared" si="30"/>
        <v>0</v>
      </c>
      <c r="O263" s="709">
        <f t="shared" si="30"/>
        <v>0</v>
      </c>
      <c r="P263" s="226">
        <f t="shared" si="30"/>
        <v>0</v>
      </c>
      <c r="Q263" s="709">
        <f t="shared" si="30"/>
        <v>0</v>
      </c>
      <c r="R263" s="709">
        <f t="shared" si="30"/>
        <v>0</v>
      </c>
      <c r="S263" s="27"/>
    </row>
    <row r="264" spans="1:19" ht="6" customHeight="1" thickBot="1">
      <c r="A264" s="20"/>
      <c r="B264" s="17"/>
      <c r="C264" s="17"/>
      <c r="D264" s="17"/>
      <c r="E264" s="17"/>
      <c r="F264" s="17"/>
      <c r="G264" s="17"/>
      <c r="H264" s="17"/>
      <c r="I264" s="17"/>
      <c r="J264" s="17"/>
      <c r="K264" s="17"/>
      <c r="L264" s="17"/>
      <c r="M264" s="17"/>
      <c r="N264" s="17"/>
      <c r="O264" s="17"/>
      <c r="P264" s="17"/>
      <c r="Q264" s="17"/>
      <c r="R264" s="17"/>
      <c r="S264" s="18"/>
    </row>
    <row r="265" ht="12.75">
      <c r="G265"/>
    </row>
    <row r="266" ht="24" customHeight="1">
      <c r="G266"/>
    </row>
    <row r="267" ht="12.75"/>
    <row r="268" spans="1:2" ht="15.75" thickBot="1">
      <c r="A268" s="71"/>
      <c r="B268" s="83" t="s">
        <v>155</v>
      </c>
    </row>
    <row r="269" spans="1:19" ht="5.25" customHeight="1" thickBot="1">
      <c r="A269" s="22"/>
      <c r="B269" s="14"/>
      <c r="C269" s="14"/>
      <c r="D269" s="14"/>
      <c r="E269" s="14"/>
      <c r="F269" s="14"/>
      <c r="G269" s="84"/>
      <c r="H269" s="14"/>
      <c r="I269" s="14"/>
      <c r="J269" s="14"/>
      <c r="K269" s="14"/>
      <c r="L269" s="14"/>
      <c r="M269" s="14"/>
      <c r="N269" s="14"/>
      <c r="O269" s="14"/>
      <c r="P269" s="14"/>
      <c r="Q269" s="14"/>
      <c r="R269" s="14"/>
      <c r="S269" s="21"/>
    </row>
    <row r="270" spans="1:19" ht="13.5" thickBot="1">
      <c r="A270" s="12"/>
      <c r="B270" s="31"/>
      <c r="C270" s="23"/>
      <c r="D270" s="23"/>
      <c r="E270" s="43" t="s">
        <v>2</v>
      </c>
      <c r="F270" s="377">
        <f>IF($F$95="","",$F$95)</f>
        <v>60</v>
      </c>
      <c r="G270" s="27"/>
      <c r="H270" s="86" t="s">
        <v>3</v>
      </c>
      <c r="I270" s="87"/>
      <c r="J270" s="24"/>
      <c r="K270" s="24"/>
      <c r="L270" s="28"/>
      <c r="M270" s="1"/>
      <c r="N270" s="86" t="s">
        <v>4</v>
      </c>
      <c r="O270" s="87"/>
      <c r="P270" s="24"/>
      <c r="Q270" s="24"/>
      <c r="R270" s="24"/>
      <c r="S270" s="27"/>
    </row>
    <row r="271" spans="1:19" ht="12.75">
      <c r="A271" s="12"/>
      <c r="B271" s="33"/>
      <c r="C271" s="6"/>
      <c r="D271" s="6"/>
      <c r="E271" s="45" t="s">
        <v>5</v>
      </c>
      <c r="F271" s="379">
        <f>IF($F$96="","",$F$96)</f>
      </c>
      <c r="G271" s="27"/>
      <c r="H271" s="88" t="s">
        <v>6</v>
      </c>
      <c r="I271" s="170">
        <f>IF($I$96="","",$I$96)</f>
      </c>
      <c r="J271" s="171"/>
      <c r="K271" s="171"/>
      <c r="L271" s="172"/>
      <c r="M271" s="1"/>
      <c r="N271" s="88" t="s">
        <v>7</v>
      </c>
      <c r="O271" s="295">
        <f>IF(O180="","",O180)</f>
        <v>0</v>
      </c>
      <c r="P271" s="181"/>
      <c r="Q271" s="181"/>
      <c r="R271" s="181"/>
      <c r="S271" s="27"/>
    </row>
    <row r="272" spans="1:19" ht="13.5" thickBot="1">
      <c r="A272" s="12"/>
      <c r="B272" s="35"/>
      <c r="C272" s="26"/>
      <c r="D272" s="26"/>
      <c r="E272" s="46" t="s">
        <v>9</v>
      </c>
      <c r="F272" s="381">
        <f>IF($F$97="","",$F$97)</f>
      </c>
      <c r="G272" s="27"/>
      <c r="H272" s="89" t="s">
        <v>10</v>
      </c>
      <c r="I272" s="250">
        <f>IF($I$97="","",$I$97)</f>
      </c>
      <c r="J272" s="173"/>
      <c r="K272" s="173"/>
      <c r="L272" s="174"/>
      <c r="M272" s="1"/>
      <c r="N272" s="89" t="s">
        <v>10</v>
      </c>
      <c r="O272" s="296" t="s">
        <v>151</v>
      </c>
      <c r="P272" s="30"/>
      <c r="Q272" s="30"/>
      <c r="R272" s="30"/>
      <c r="S272" s="27"/>
    </row>
    <row r="273" spans="1:19" ht="13.5" thickBot="1">
      <c r="A273" s="12"/>
      <c r="B273" s="165" t="s">
        <v>12</v>
      </c>
      <c r="C273" s="166"/>
      <c r="D273" s="166"/>
      <c r="E273" s="317" t="s">
        <v>13</v>
      </c>
      <c r="F273" s="383" t="s">
        <v>14</v>
      </c>
      <c r="G273" s="27"/>
      <c r="H273" s="22"/>
      <c r="I273" s="85" t="s">
        <v>15</v>
      </c>
      <c r="J273" s="123">
        <v>33081</v>
      </c>
      <c r="K273" s="175">
        <f>IF($K$98="","",$K$98)</f>
      </c>
      <c r="L273" s="176"/>
      <c r="M273" s="1"/>
      <c r="N273" s="22"/>
      <c r="O273" s="189" t="s">
        <v>16</v>
      </c>
      <c r="P273" s="15"/>
      <c r="Q273" s="175">
        <f>IF($Q$98="","",$Q$98)</f>
      </c>
      <c r="R273" s="176"/>
      <c r="S273" s="27"/>
    </row>
    <row r="274" spans="1:19" ht="12.75">
      <c r="A274" s="12"/>
      <c r="B274" s="47"/>
      <c r="C274" s="10"/>
      <c r="D274" s="313" t="s">
        <v>17</v>
      </c>
      <c r="E274" s="291">
        <f>IF($E$99="","",$E$99)</f>
        <v>1</v>
      </c>
      <c r="F274" s="385">
        <f>IF($F$99="","",$F$99)</f>
      </c>
      <c r="G274" s="27"/>
      <c r="H274" s="12"/>
      <c r="I274" s="82" t="s">
        <v>18</v>
      </c>
      <c r="J274" s="123"/>
      <c r="K274" s="177">
        <f>IF($K$99="","",$K$99)</f>
      </c>
      <c r="L274" s="178"/>
      <c r="M274" s="1"/>
      <c r="N274" s="12"/>
      <c r="O274" s="189" t="s">
        <v>19</v>
      </c>
      <c r="P274" s="15"/>
      <c r="Q274" s="177">
        <f>IF($Q$99="","",$Q$99)</f>
      </c>
      <c r="R274" s="178"/>
      <c r="S274" s="27"/>
    </row>
    <row r="275" spans="1:19" ht="13.5" thickBot="1">
      <c r="A275" s="12"/>
      <c r="B275" s="33"/>
      <c r="C275" s="6"/>
      <c r="D275" s="152" t="s">
        <v>20</v>
      </c>
      <c r="E275" s="276">
        <f>IF($E$100="","",$E$100)</f>
        <v>10.79</v>
      </c>
      <c r="F275" s="386">
        <f>IF($F$100="","",$F$100)</f>
        <v>10.79</v>
      </c>
      <c r="G275" s="27"/>
      <c r="H275" s="20"/>
      <c r="I275" s="90" t="s">
        <v>21</v>
      </c>
      <c r="J275" s="124">
        <v>35550</v>
      </c>
      <c r="K275" s="179">
        <f>IF($K$100="","",$K$100)</f>
      </c>
      <c r="L275" s="180"/>
      <c r="M275" s="1"/>
      <c r="N275" s="20"/>
      <c r="O275" s="190" t="s">
        <v>22</v>
      </c>
      <c r="P275" s="30"/>
      <c r="Q275" s="243">
        <f>IF($Q$100="","",$Q$100)</f>
      </c>
      <c r="R275" s="180"/>
      <c r="S275" s="27"/>
    </row>
    <row r="276" spans="1:19" ht="12.75">
      <c r="A276" s="12"/>
      <c r="B276" s="47"/>
      <c r="C276" s="10"/>
      <c r="D276" s="154" t="s">
        <v>23</v>
      </c>
      <c r="E276" s="277">
        <f>IF($E$101="","",$E$101)</f>
        <v>0.3</v>
      </c>
      <c r="F276" s="387">
        <f>IF($F$101="","",$F$101)</f>
        <v>1</v>
      </c>
      <c r="G276" s="27"/>
      <c r="H276" s="290" t="s">
        <v>24</v>
      </c>
      <c r="I276" s="119"/>
      <c r="J276" s="119"/>
      <c r="K276" s="119"/>
      <c r="L276" s="119"/>
      <c r="M276" s="119"/>
      <c r="N276" s="119"/>
      <c r="O276" s="119"/>
      <c r="P276" s="119"/>
      <c r="Q276" s="119"/>
      <c r="S276" s="27"/>
    </row>
    <row r="277" spans="1:19" ht="13.5" thickBot="1">
      <c r="A277" s="12"/>
      <c r="B277" s="33"/>
      <c r="C277" s="6"/>
      <c r="D277" s="152" t="s">
        <v>25</v>
      </c>
      <c r="E277" s="277">
        <f>IF($E$102="","",$E$102)</f>
      </c>
      <c r="F277" s="387">
        <f>IF($F$102="","",$F$102)</f>
      </c>
      <c r="G277" s="27"/>
      <c r="H277" s="156"/>
      <c r="I277" s="3"/>
      <c r="J277" s="3"/>
      <c r="K277" s="3"/>
      <c r="L277" s="3"/>
      <c r="M277" s="13"/>
      <c r="N277" s="13"/>
      <c r="O277" s="13"/>
      <c r="P277" s="13"/>
      <c r="Q277" s="13"/>
      <c r="R277" s="13"/>
      <c r="S277" s="27"/>
    </row>
    <row r="278" spans="1:19" ht="3.75" customHeight="1" thickBot="1">
      <c r="A278" s="12"/>
      <c r="B278" s="284"/>
      <c r="C278" s="284"/>
      <c r="D278" s="284"/>
      <c r="E278" s="284"/>
      <c r="F278" s="284"/>
      <c r="G278" s="1"/>
      <c r="H278" s="87"/>
      <c r="I278" s="87"/>
      <c r="J278" s="87"/>
      <c r="K278" s="87"/>
      <c r="L278" s="87"/>
      <c r="M278" s="87"/>
      <c r="N278" s="87"/>
      <c r="O278" s="87"/>
      <c r="P278" s="87"/>
      <c r="Q278" s="87"/>
      <c r="R278" s="87"/>
      <c r="S278" s="19"/>
    </row>
    <row r="279" spans="1:19" ht="16.5" thickBot="1">
      <c r="A279" s="12"/>
      <c r="B279" s="165" t="s">
        <v>26</v>
      </c>
      <c r="C279" s="168"/>
      <c r="D279" s="166"/>
      <c r="E279" s="166"/>
      <c r="F279" s="169"/>
      <c r="G279" s="271"/>
      <c r="H279" s="388" t="s">
        <v>27</v>
      </c>
      <c r="I279" s="389"/>
      <c r="J279" s="27"/>
      <c r="K279" s="657" t="s">
        <v>93</v>
      </c>
      <c r="L279" s="24"/>
      <c r="M279" s="24"/>
      <c r="N279" s="24"/>
      <c r="O279" s="244"/>
      <c r="P279" s="24"/>
      <c r="Q279" s="28"/>
      <c r="R279" s="28"/>
      <c r="S279" s="27"/>
    </row>
    <row r="280" spans="1:19" ht="16.5" thickBot="1">
      <c r="A280" s="12"/>
      <c r="B280" s="74"/>
      <c r="C280" s="75"/>
      <c r="D280" s="76"/>
      <c r="E280" s="76"/>
      <c r="F280" s="283" t="s">
        <v>31</v>
      </c>
      <c r="G280" s="272"/>
      <c r="H280" s="391">
        <f>IF(H105="","",H105)</f>
      </c>
      <c r="I280" s="392"/>
      <c r="J280" s="27"/>
      <c r="K280" s="119"/>
      <c r="L280" s="87"/>
      <c r="M280" s="87"/>
      <c r="N280" s="14"/>
      <c r="O280" s="85" t="s">
        <v>94</v>
      </c>
      <c r="P280" s="21"/>
      <c r="Q280" s="636">
        <f aca="true" t="shared" si="31" ref="Q280:Q299">IF(T105="","",T105)</f>
      </c>
      <c r="R280" s="629"/>
      <c r="S280" s="27"/>
    </row>
    <row r="281" spans="1:19" ht="13.5" customHeight="1" thickBot="1">
      <c r="A281" s="12"/>
      <c r="B281" s="363" t="s">
        <v>32</v>
      </c>
      <c r="C281" s="364"/>
      <c r="D281" s="364"/>
      <c r="E281" s="364"/>
      <c r="F281" s="366" t="s">
        <v>33</v>
      </c>
      <c r="G281" s="27"/>
      <c r="H281" s="395" t="s">
        <v>34</v>
      </c>
      <c r="I281" s="395" t="s">
        <v>35</v>
      </c>
      <c r="J281" s="27"/>
      <c r="K281" s="630"/>
      <c r="L281" s="631"/>
      <c r="M281" s="631"/>
      <c r="N281" s="17"/>
      <c r="O281" s="90" t="s">
        <v>95</v>
      </c>
      <c r="P281" s="18"/>
      <c r="Q281" s="637">
        <f t="shared" si="31"/>
      </c>
      <c r="R281" s="632"/>
      <c r="S281" s="27"/>
    </row>
    <row r="282" spans="1:19" ht="13.5" thickBot="1">
      <c r="A282" s="12"/>
      <c r="B282" s="350"/>
      <c r="C282" s="351"/>
      <c r="D282" s="352" t="s">
        <v>36</v>
      </c>
      <c r="E282" s="353"/>
      <c r="F282" s="158" t="s">
        <v>37</v>
      </c>
      <c r="G282" s="239"/>
      <c r="H282" s="397">
        <f>IF(H107="","",H107)</f>
      </c>
      <c r="I282" s="398" t="s">
        <v>38</v>
      </c>
      <c r="J282" s="293"/>
      <c r="K282" s="372"/>
      <c r="L282" s="284"/>
      <c r="M282" s="372"/>
      <c r="N282" s="284"/>
      <c r="O282" s="285" t="s">
        <v>96</v>
      </c>
      <c r="P282" s="486"/>
      <c r="Q282" s="490">
        <f t="shared" si="31"/>
        <v>0</v>
      </c>
      <c r="R282" s="490"/>
      <c r="S282" s="27"/>
    </row>
    <row r="283" spans="1:19" ht="13.5" customHeight="1" thickBot="1">
      <c r="A283" s="12"/>
      <c r="B283" s="354"/>
      <c r="C283" s="60"/>
      <c r="D283" s="355"/>
      <c r="E283" s="61"/>
      <c r="F283" s="159" t="s">
        <v>39</v>
      </c>
      <c r="G283" s="239"/>
      <c r="H283" s="400">
        <f>IF(H108="","",H108)</f>
      </c>
      <c r="I283" s="784">
        <f>IF(I108="","",I108)</f>
      </c>
      <c r="J283" s="293"/>
      <c r="K283" s="14"/>
      <c r="L283" s="23"/>
      <c r="M283" s="14"/>
      <c r="N283" s="23"/>
      <c r="O283" s="43" t="s">
        <v>97</v>
      </c>
      <c r="P283" s="21"/>
      <c r="Q283" s="491">
        <f t="shared" si="31"/>
        <v>0</v>
      </c>
      <c r="R283" s="491"/>
      <c r="S283" s="27"/>
    </row>
    <row r="284" spans="1:19" ht="13.5" customHeight="1" thickBot="1">
      <c r="A284" s="12"/>
      <c r="B284" s="350"/>
      <c r="C284" s="351"/>
      <c r="D284" s="352" t="s">
        <v>40</v>
      </c>
      <c r="E284" s="353"/>
      <c r="F284" s="158" t="s">
        <v>37</v>
      </c>
      <c r="G284" s="239"/>
      <c r="H284" s="397">
        <f>IF(H109="","",H109)</f>
      </c>
      <c r="I284" s="672">
        <f>IF(I109="","",I109)</f>
      </c>
      <c r="J284" s="293"/>
      <c r="K284" s="17"/>
      <c r="L284" s="26"/>
      <c r="M284" s="17"/>
      <c r="N284" s="26"/>
      <c r="O284" s="46" t="s">
        <v>98</v>
      </c>
      <c r="P284" s="18"/>
      <c r="Q284" s="492">
        <f t="shared" si="31"/>
        <v>0</v>
      </c>
      <c r="R284" s="492"/>
      <c r="S284" s="27"/>
    </row>
    <row r="285" spans="1:19" ht="13.5" thickBot="1">
      <c r="A285" s="12"/>
      <c r="B285" s="356"/>
      <c r="C285" s="151"/>
      <c r="D285" s="357"/>
      <c r="E285" s="353"/>
      <c r="F285" s="158" t="s">
        <v>39</v>
      </c>
      <c r="G285" s="239"/>
      <c r="H285" s="397">
        <f>IF(H110="","",H110)</f>
      </c>
      <c r="I285" s="672">
        <f>IF(I110="","",I110)</f>
      </c>
      <c r="J285" s="294"/>
      <c r="K285" s="14"/>
      <c r="L285" s="23"/>
      <c r="M285" s="14"/>
      <c r="N285" s="23"/>
      <c r="O285" s="43" t="s">
        <v>99</v>
      </c>
      <c r="P285" s="21"/>
      <c r="Q285" s="510">
        <f t="shared" si="31"/>
        <v>0</v>
      </c>
      <c r="R285" s="491"/>
      <c r="S285" s="27"/>
    </row>
    <row r="286" spans="1:19" ht="13.5" thickBot="1">
      <c r="A286" s="12"/>
      <c r="B286" s="165" t="s">
        <v>41</v>
      </c>
      <c r="C286" s="166"/>
      <c r="D286" s="166"/>
      <c r="E286" s="167"/>
      <c r="F286" s="169"/>
      <c r="G286" s="362"/>
      <c r="H286" s="401" t="s">
        <v>42</v>
      </c>
      <c r="I286" s="402" t="s">
        <v>43</v>
      </c>
      <c r="J286" s="101"/>
      <c r="K286" s="17"/>
      <c r="L286" s="26"/>
      <c r="M286" s="17"/>
      <c r="N286" s="26"/>
      <c r="O286" s="46" t="s">
        <v>100</v>
      </c>
      <c r="P286" s="18"/>
      <c r="Q286" s="514">
        <f t="shared" si="31"/>
        <v>0</v>
      </c>
      <c r="R286" s="492"/>
      <c r="S286" s="27"/>
    </row>
    <row r="287" spans="1:19" ht="12.75">
      <c r="A287" s="12"/>
      <c r="B287" s="33"/>
      <c r="C287" s="6"/>
      <c r="D287" s="45"/>
      <c r="E287" s="45"/>
      <c r="F287" s="152" t="s">
        <v>44</v>
      </c>
      <c r="G287" s="239"/>
      <c r="H287" s="261">
        <f aca="true" t="shared" si="32" ref="H287:I289">IF(H112="","",H112)</f>
      </c>
      <c r="I287" s="404">
        <f t="shared" si="32"/>
      </c>
      <c r="J287" s="101"/>
      <c r="K287" s="14"/>
      <c r="L287" s="23"/>
      <c r="M287" s="14"/>
      <c r="N287" s="14"/>
      <c r="O287" s="43" t="s">
        <v>101</v>
      </c>
      <c r="P287" s="21"/>
      <c r="Q287" s="515">
        <f t="shared" si="31"/>
        <v>0</v>
      </c>
      <c r="R287" s="491"/>
      <c r="S287" s="27"/>
    </row>
    <row r="288" spans="1:19" ht="12.75">
      <c r="A288" s="12"/>
      <c r="B288" s="33"/>
      <c r="C288" s="6"/>
      <c r="D288" s="49"/>
      <c r="E288" s="49"/>
      <c r="F288" s="96" t="s">
        <v>117</v>
      </c>
      <c r="G288" s="239"/>
      <c r="H288" s="672">
        <f t="shared" si="32"/>
      </c>
      <c r="I288" s="672">
        <f t="shared" si="32"/>
      </c>
      <c r="J288" s="101"/>
      <c r="K288" s="1"/>
      <c r="L288" s="6"/>
      <c r="M288" s="1"/>
      <c r="N288" s="1"/>
      <c r="O288" s="45" t="s">
        <v>536</v>
      </c>
      <c r="P288" s="19"/>
      <c r="Q288" s="516">
        <f t="shared" si="31"/>
        <v>0</v>
      </c>
      <c r="R288" s="493"/>
      <c r="S288" s="27"/>
    </row>
    <row r="289" spans="1:19" ht="13.5" thickBot="1">
      <c r="A289" s="94"/>
      <c r="B289" s="33"/>
      <c r="C289" s="26"/>
      <c r="D289" s="46"/>
      <c r="E289" s="46"/>
      <c r="F289" s="153" t="s">
        <v>46</v>
      </c>
      <c r="G289" s="239"/>
      <c r="H289" s="672">
        <f t="shared" si="32"/>
      </c>
      <c r="I289" s="672">
        <f t="shared" si="32"/>
      </c>
      <c r="J289" s="102"/>
      <c r="K289" s="17"/>
      <c r="L289" s="17"/>
      <c r="M289" s="17"/>
      <c r="N289" s="26"/>
      <c r="O289" s="90" t="s">
        <v>103</v>
      </c>
      <c r="P289" s="18"/>
      <c r="Q289" s="500">
        <f t="shared" si="31"/>
        <v>0</v>
      </c>
      <c r="R289" s="492"/>
      <c r="S289" s="27"/>
    </row>
    <row r="290" spans="1:19" ht="13.5" thickBot="1">
      <c r="A290" s="94"/>
      <c r="B290" s="363" t="s">
        <v>47</v>
      </c>
      <c r="C290" s="364"/>
      <c r="D290" s="364"/>
      <c r="E290" s="364"/>
      <c r="F290" s="365"/>
      <c r="G290" s="27"/>
      <c r="H290" s="401" t="s">
        <v>42</v>
      </c>
      <c r="I290" s="402" t="s">
        <v>43</v>
      </c>
      <c r="J290" s="101"/>
      <c r="K290" s="14"/>
      <c r="L290" s="23"/>
      <c r="M290" s="14"/>
      <c r="N290" s="23"/>
      <c r="O290" s="85" t="s">
        <v>104</v>
      </c>
      <c r="P290" s="21"/>
      <c r="Q290" s="511">
        <f t="shared" si="31"/>
        <v>0</v>
      </c>
      <c r="R290" s="494"/>
      <c r="S290" s="27"/>
    </row>
    <row r="291" spans="1:19" ht="12.75">
      <c r="A291" s="12"/>
      <c r="B291" s="56"/>
      <c r="C291" s="10"/>
      <c r="D291" s="10"/>
      <c r="E291" s="57"/>
      <c r="F291" s="154" t="s">
        <v>48</v>
      </c>
      <c r="G291" s="239"/>
      <c r="H291" s="261">
        <f aca="true" t="shared" si="33" ref="H291:I299">IF(H116="","",H116)</f>
      </c>
      <c r="I291" s="261">
        <f t="shared" si="33"/>
      </c>
      <c r="J291" s="101"/>
      <c r="K291" s="1"/>
      <c r="L291" s="6"/>
      <c r="M291" s="1"/>
      <c r="N291" s="6"/>
      <c r="O291" s="82" t="s">
        <v>105</v>
      </c>
      <c r="P291" s="19"/>
      <c r="Q291" s="512">
        <f t="shared" si="31"/>
        <v>0</v>
      </c>
      <c r="R291" s="495"/>
      <c r="S291" s="27"/>
    </row>
    <row r="292" spans="1:19" ht="12.75">
      <c r="A292" s="12"/>
      <c r="B292" s="33"/>
      <c r="C292" s="6"/>
      <c r="D292" s="6"/>
      <c r="E292" s="45"/>
      <c r="F292" s="152" t="s">
        <v>49</v>
      </c>
      <c r="G292" s="239"/>
      <c r="H292" s="405">
        <f t="shared" si="33"/>
      </c>
      <c r="I292" s="261">
        <f t="shared" si="33"/>
      </c>
      <c r="J292" s="101"/>
      <c r="K292" s="1"/>
      <c r="L292" s="6"/>
      <c r="M292" s="1"/>
      <c r="N292" s="6"/>
      <c r="O292" s="82" t="s">
        <v>106</v>
      </c>
      <c r="P292" s="19"/>
      <c r="Q292" s="512">
        <f t="shared" si="31"/>
        <v>0</v>
      </c>
      <c r="R292" s="496"/>
      <c r="S292" s="27"/>
    </row>
    <row r="293" spans="1:19" ht="13.5" thickBot="1">
      <c r="A293" s="12"/>
      <c r="B293" s="47"/>
      <c r="C293" s="10"/>
      <c r="D293" s="10"/>
      <c r="E293" s="48"/>
      <c r="F293" s="154" t="s">
        <v>50</v>
      </c>
      <c r="G293" s="239"/>
      <c r="H293" s="405">
        <f t="shared" si="33"/>
      </c>
      <c r="I293" s="261">
        <f t="shared" si="33"/>
      </c>
      <c r="J293" s="101"/>
      <c r="K293" s="17"/>
      <c r="L293" s="26"/>
      <c r="M293" s="17"/>
      <c r="N293" s="26"/>
      <c r="O293" s="90" t="s">
        <v>107</v>
      </c>
      <c r="P293" s="18"/>
      <c r="Q293" s="518">
        <f t="shared" si="31"/>
        <v>0</v>
      </c>
      <c r="R293" s="497"/>
      <c r="S293" s="27"/>
    </row>
    <row r="294" spans="1:19" ht="12.75">
      <c r="A294" s="12"/>
      <c r="B294" s="33"/>
      <c r="C294" s="6"/>
      <c r="D294" s="6"/>
      <c r="E294" s="45"/>
      <c r="F294" s="152" t="s">
        <v>51</v>
      </c>
      <c r="G294" s="239"/>
      <c r="H294" s="405">
        <f t="shared" si="33"/>
      </c>
      <c r="I294" s="261">
        <f t="shared" si="33"/>
      </c>
      <c r="J294" s="101"/>
      <c r="K294" s="14"/>
      <c r="L294" s="14"/>
      <c r="M294" s="14"/>
      <c r="N294" s="14"/>
      <c r="O294" s="43" t="s">
        <v>108</v>
      </c>
      <c r="P294" s="21"/>
      <c r="Q294" s="517">
        <f t="shared" si="31"/>
        <v>0</v>
      </c>
      <c r="R294" s="494"/>
      <c r="S294" s="27"/>
    </row>
    <row r="295" spans="1:19" ht="12.75" customHeight="1">
      <c r="A295" s="12"/>
      <c r="B295" s="47"/>
      <c r="C295" s="10"/>
      <c r="D295" s="10"/>
      <c r="E295" s="48"/>
      <c r="F295" s="154" t="s">
        <v>52</v>
      </c>
      <c r="G295" s="239"/>
      <c r="H295" s="405">
        <f t="shared" si="33"/>
      </c>
      <c r="I295" s="261">
        <f t="shared" si="33"/>
      </c>
      <c r="J295" s="101"/>
      <c r="K295" s="1"/>
      <c r="L295" s="6"/>
      <c r="M295" s="1"/>
      <c r="N295" s="1"/>
      <c r="O295" s="45" t="s">
        <v>109</v>
      </c>
      <c r="P295" s="19"/>
      <c r="Q295" s="513">
        <f t="shared" si="31"/>
        <v>0</v>
      </c>
      <c r="R295" s="498"/>
      <c r="S295" s="27"/>
    </row>
    <row r="296" spans="1:19" ht="12.75">
      <c r="A296" s="12"/>
      <c r="B296" s="33"/>
      <c r="C296" s="6"/>
      <c r="D296" s="6"/>
      <c r="E296" s="45"/>
      <c r="F296" s="152" t="s">
        <v>53</v>
      </c>
      <c r="G296" s="239"/>
      <c r="H296" s="405">
        <f t="shared" si="33"/>
      </c>
      <c r="I296" s="261">
        <f t="shared" si="33"/>
      </c>
      <c r="J296" s="101"/>
      <c r="K296" s="1"/>
      <c r="L296" s="6"/>
      <c r="M296" s="1"/>
      <c r="N296" s="1"/>
      <c r="O296" s="82" t="s">
        <v>110</v>
      </c>
      <c r="P296" s="19"/>
      <c r="Q296" s="516">
        <f t="shared" si="31"/>
        <v>0</v>
      </c>
      <c r="R296" s="499"/>
      <c r="S296" s="27"/>
    </row>
    <row r="297" spans="1:19" ht="13.5" customHeight="1" thickBot="1">
      <c r="A297" s="12"/>
      <c r="B297" s="47"/>
      <c r="C297" s="10"/>
      <c r="D297" s="10"/>
      <c r="E297" s="48"/>
      <c r="F297" s="154" t="s">
        <v>54</v>
      </c>
      <c r="G297" s="239">
        <v>2</v>
      </c>
      <c r="H297" s="405">
        <f t="shared" si="33"/>
      </c>
      <c r="I297" s="261">
        <f t="shared" si="33"/>
      </c>
      <c r="J297" s="101"/>
      <c r="K297" s="17"/>
      <c r="L297" s="17"/>
      <c r="M297" s="17"/>
      <c r="N297" s="26"/>
      <c r="O297" s="90" t="s">
        <v>111</v>
      </c>
      <c r="P297" s="18"/>
      <c r="Q297" s="500">
        <f t="shared" si="31"/>
        <v>0</v>
      </c>
      <c r="R297" s="500"/>
      <c r="S297" s="27"/>
    </row>
    <row r="298" spans="1:19" ht="12.75">
      <c r="A298" s="12"/>
      <c r="B298" s="33"/>
      <c r="C298" s="6"/>
      <c r="D298" s="6"/>
      <c r="E298" s="45"/>
      <c r="F298" s="152" t="s">
        <v>55</v>
      </c>
      <c r="G298" s="239">
        <v>2</v>
      </c>
      <c r="H298" s="405">
        <f t="shared" si="33"/>
      </c>
      <c r="I298" s="261">
        <f t="shared" si="33"/>
      </c>
      <c r="J298" s="101"/>
      <c r="K298" s="14"/>
      <c r="L298" s="14"/>
      <c r="M298" s="14"/>
      <c r="N298" s="23"/>
      <c r="O298" s="85" t="s">
        <v>112</v>
      </c>
      <c r="P298" s="21"/>
      <c r="Q298" s="501">
        <f t="shared" si="31"/>
        <v>0</v>
      </c>
      <c r="R298" s="501"/>
      <c r="S298" s="27"/>
    </row>
    <row r="299" spans="1:19" ht="13.5" thickBot="1">
      <c r="A299" s="12"/>
      <c r="B299" s="33"/>
      <c r="C299" s="6"/>
      <c r="D299" s="6"/>
      <c r="E299" s="45"/>
      <c r="F299" s="152" t="s">
        <v>56</v>
      </c>
      <c r="G299" s="239"/>
      <c r="H299" s="405">
        <f t="shared" si="33"/>
      </c>
      <c r="I299" s="261">
        <f t="shared" si="33"/>
      </c>
      <c r="J299" s="101"/>
      <c r="K299" s="17"/>
      <c r="L299" s="17"/>
      <c r="M299" s="17"/>
      <c r="N299" s="26"/>
      <c r="O299" s="90" t="s">
        <v>113</v>
      </c>
      <c r="P299" s="18"/>
      <c r="Q299" s="502">
        <f t="shared" si="31"/>
        <v>0</v>
      </c>
      <c r="R299" s="502"/>
      <c r="S299" s="27"/>
    </row>
    <row r="300" spans="1:19" ht="3.75" customHeight="1" thickBot="1">
      <c r="A300" s="12"/>
      <c r="B300" s="284"/>
      <c r="C300" s="284"/>
      <c r="D300" s="284"/>
      <c r="E300" s="285"/>
      <c r="F300" s="285"/>
      <c r="G300" s="6"/>
      <c r="H300" s="278"/>
      <c r="I300" s="279"/>
      <c r="J300" s="95"/>
      <c r="K300" s="1"/>
      <c r="L300" s="1"/>
      <c r="M300" s="1"/>
      <c r="N300" s="1"/>
      <c r="O300" s="1"/>
      <c r="P300" s="1"/>
      <c r="Q300" s="1"/>
      <c r="R300" s="1"/>
      <c r="S300" s="19"/>
    </row>
    <row r="301" spans="1:19" ht="13.5" thickBot="1">
      <c r="A301" s="12"/>
      <c r="B301" s="165" t="s">
        <v>57</v>
      </c>
      <c r="C301" s="166"/>
      <c r="D301" s="166"/>
      <c r="E301" s="186"/>
      <c r="F301" s="187"/>
      <c r="G301" s="6"/>
      <c r="H301" s="288" t="s">
        <v>13</v>
      </c>
      <c r="I301" s="59" t="s">
        <v>14</v>
      </c>
      <c r="J301" s="656"/>
      <c r="S301" s="19"/>
    </row>
    <row r="302" spans="1:19" ht="12.75">
      <c r="A302" s="12"/>
      <c r="B302" s="160"/>
      <c r="C302" s="6"/>
      <c r="D302" s="6"/>
      <c r="E302" s="45"/>
      <c r="F302" s="152" t="s">
        <v>118</v>
      </c>
      <c r="G302" s="239"/>
      <c r="H302" s="277">
        <f>IF($H$127="","",$H$127)</f>
        <v>0</v>
      </c>
      <c r="I302" s="277">
        <f>IF($I$127="","",$I$127)</f>
        <v>0</v>
      </c>
      <c r="J302" s="656"/>
      <c r="S302" s="19"/>
    </row>
    <row r="303" spans="1:19" ht="13.5" customHeight="1" thickBot="1">
      <c r="A303" s="12"/>
      <c r="B303" s="33"/>
      <c r="C303" s="6"/>
      <c r="D303" s="6"/>
      <c r="E303" s="45"/>
      <c r="F303" s="45" t="s">
        <v>59</v>
      </c>
      <c r="G303" s="239"/>
      <c r="H303" s="658">
        <f>IF($H$128="","",$H$128)</f>
        <v>0</v>
      </c>
      <c r="I303" s="658">
        <f>IF($I$128="","",$I$128)</f>
        <v>0</v>
      </c>
      <c r="J303" s="121"/>
      <c r="S303" s="19"/>
    </row>
    <row r="304" spans="1:19" ht="23.25" customHeight="1" thickBot="1">
      <c r="A304" s="12"/>
      <c r="B304" s="14"/>
      <c r="C304" s="14"/>
      <c r="D304" s="14"/>
      <c r="E304" s="14"/>
      <c r="F304" s="14"/>
      <c r="G304" s="1"/>
      <c r="H304" s="14"/>
      <c r="I304" s="14"/>
      <c r="J304" s="1"/>
      <c r="K304" s="1"/>
      <c r="L304" s="1"/>
      <c r="M304" s="1"/>
      <c r="N304" s="1"/>
      <c r="O304" s="1"/>
      <c r="P304" s="1"/>
      <c r="Q304" s="1"/>
      <c r="R304" s="1"/>
      <c r="S304" s="19"/>
    </row>
    <row r="305" spans="1:19" ht="13.5" thickBot="1">
      <c r="A305" s="12"/>
      <c r="B305" s="198" t="s">
        <v>152</v>
      </c>
      <c r="C305" s="299">
        <f>IF($C$130="","",$C$130)</f>
      </c>
      <c r="D305" s="298"/>
      <c r="E305" s="297" t="s">
        <v>61</v>
      </c>
      <c r="F305" s="299">
        <f>IF($F$130="","",$F$130)</f>
        <v>0</v>
      </c>
      <c r="G305" s="27"/>
      <c r="H305" s="684" t="s">
        <v>145</v>
      </c>
      <c r="I305" s="684" t="s">
        <v>145</v>
      </c>
      <c r="J305" s="27"/>
      <c r="K305" s="684" t="s">
        <v>131</v>
      </c>
      <c r="L305" s="684" t="s">
        <v>131</v>
      </c>
      <c r="M305" s="102"/>
      <c r="N305" s="684" t="s">
        <v>145</v>
      </c>
      <c r="O305" s="684" t="s">
        <v>131</v>
      </c>
      <c r="P305" s="102"/>
      <c r="Q305" s="684" t="s">
        <v>146</v>
      </c>
      <c r="R305" s="684" t="s">
        <v>125</v>
      </c>
      <c r="S305" s="19"/>
    </row>
    <row r="306" spans="1:19" ht="12.75">
      <c r="A306" s="12"/>
      <c r="B306" s="98" t="s">
        <v>63</v>
      </c>
      <c r="C306" s="98" t="s">
        <v>66</v>
      </c>
      <c r="D306" s="99" t="s">
        <v>129</v>
      </c>
      <c r="E306" s="306" t="s">
        <v>156</v>
      </c>
      <c r="F306" s="308" t="s">
        <v>157</v>
      </c>
      <c r="G306" s="27"/>
      <c r="H306" s="685" t="s">
        <v>148</v>
      </c>
      <c r="I306" s="685" t="s">
        <v>148</v>
      </c>
      <c r="J306" s="27"/>
      <c r="K306" s="685" t="s">
        <v>148</v>
      </c>
      <c r="L306" s="685" t="s">
        <v>148</v>
      </c>
      <c r="M306" s="102"/>
      <c r="N306" s="685" t="s">
        <v>148</v>
      </c>
      <c r="O306" s="685" t="s">
        <v>148</v>
      </c>
      <c r="P306" s="102"/>
      <c r="Q306" s="685" t="s">
        <v>148</v>
      </c>
      <c r="R306" s="685" t="s">
        <v>537</v>
      </c>
      <c r="S306" s="19"/>
    </row>
    <row r="307" spans="1:19" ht="12.75">
      <c r="A307" s="12"/>
      <c r="B307" s="100"/>
      <c r="C307" s="101"/>
      <c r="D307" s="102" t="s">
        <v>133</v>
      </c>
      <c r="E307" s="307" t="s">
        <v>158</v>
      </c>
      <c r="F307" s="309" t="s">
        <v>158</v>
      </c>
      <c r="G307" s="27"/>
      <c r="H307" s="685" t="s">
        <v>13</v>
      </c>
      <c r="I307" s="685" t="s">
        <v>14</v>
      </c>
      <c r="J307" s="27"/>
      <c r="K307" s="685" t="s">
        <v>13</v>
      </c>
      <c r="L307" s="685" t="s">
        <v>14</v>
      </c>
      <c r="M307" s="102"/>
      <c r="N307" s="685"/>
      <c r="O307" s="685"/>
      <c r="P307" s="102"/>
      <c r="Q307" s="685"/>
      <c r="R307" s="685" t="s">
        <v>133</v>
      </c>
      <c r="S307" s="19"/>
    </row>
    <row r="308" spans="1:19" s="678" customFormat="1" ht="13.5" thickBot="1">
      <c r="A308" s="674"/>
      <c r="B308" s="675" t="s">
        <v>67</v>
      </c>
      <c r="C308" s="676" t="s">
        <v>68</v>
      </c>
      <c r="D308" s="675" t="s">
        <v>68</v>
      </c>
      <c r="E308" s="679" t="s">
        <v>149</v>
      </c>
      <c r="F308" s="680" t="s">
        <v>149</v>
      </c>
      <c r="G308" s="682"/>
      <c r="H308" s="686" t="s">
        <v>149</v>
      </c>
      <c r="I308" s="686" t="s">
        <v>149</v>
      </c>
      <c r="J308" s="682"/>
      <c r="K308" s="686" t="s">
        <v>149</v>
      </c>
      <c r="L308" s="686" t="s">
        <v>149</v>
      </c>
      <c r="M308" s="681"/>
      <c r="N308" s="686" t="s">
        <v>149</v>
      </c>
      <c r="O308" s="686" t="s">
        <v>149</v>
      </c>
      <c r="P308" s="102"/>
      <c r="Q308" s="686" t="s">
        <v>149</v>
      </c>
      <c r="R308" s="686" t="s">
        <v>138</v>
      </c>
      <c r="S308" s="677"/>
    </row>
    <row r="309" spans="1:21" s="1" customFormat="1" ht="12.75">
      <c r="A309" s="12"/>
      <c r="B309" s="103">
        <f>IF(B134="","",B134)</f>
        <v>0</v>
      </c>
      <c r="C309" s="673">
        <f aca="true" t="shared" si="34" ref="C309:C332">IF(C134="","",C134)</f>
      </c>
      <c r="D309" s="104">
        <f aca="true" t="shared" si="35" ref="D309:D332">IF(F134="","",F134)</f>
        <v>0</v>
      </c>
      <c r="E309" s="315">
        <f aca="true" t="shared" si="36" ref="E309:E332">$E$102*C166+$F$102*D166</f>
        <v>0</v>
      </c>
      <c r="F309" s="314" t="e">
        <f aca="true" t="shared" si="37" ref="F309:F332">($H$109/$I$109-$H$110/$I$110)*($E$100*E166+$F$100*F166)+($H$109-$H$110)*($E$101*E166+$F$101*F166)</f>
        <v>#DIV/0!</v>
      </c>
      <c r="G309" s="27"/>
      <c r="H309" s="688">
        <f aca="true" t="shared" si="38" ref="H309:H332">L166</f>
        <v>0</v>
      </c>
      <c r="I309" s="688">
        <f aca="true" t="shared" si="39" ref="I309:I332">N166</f>
        <v>0</v>
      </c>
      <c r="J309" s="27"/>
      <c r="K309" s="688">
        <f aca="true" t="shared" si="40" ref="K309:K332">O166</f>
        <v>0</v>
      </c>
      <c r="L309" s="688">
        <f aca="true" t="shared" si="41" ref="L309:L332">Q166</f>
        <v>0</v>
      </c>
      <c r="M309" s="226"/>
      <c r="N309" s="688">
        <f aca="true" t="shared" si="42" ref="N309:N332">R166</f>
        <v>0</v>
      </c>
      <c r="O309" s="688">
        <f aca="true" t="shared" si="43" ref="O309:O332">T166</f>
        <v>0</v>
      </c>
      <c r="P309" s="102"/>
      <c r="Q309" s="688">
        <f aca="true" t="shared" si="44" ref="Q309:Q332">U166</f>
        <v>0</v>
      </c>
      <c r="R309" s="687">
        <f aca="true" t="shared" si="45" ref="R309:R335">T134</f>
        <v>0</v>
      </c>
      <c r="S309" s="27"/>
      <c r="U309"/>
    </row>
    <row r="310" spans="1:19" ht="12.75">
      <c r="A310" s="12"/>
      <c r="B310" s="103" t="str">
        <f aca="true" t="shared" si="46" ref="B310:B332">IF(B135="","",B135)</f>
        <v>1 A</v>
      </c>
      <c r="C310" s="673">
        <f t="shared" si="34"/>
      </c>
      <c r="D310" s="104">
        <f t="shared" si="35"/>
        <v>0</v>
      </c>
      <c r="E310" s="315">
        <f t="shared" si="36"/>
        <v>0</v>
      </c>
      <c r="F310" s="314" t="e">
        <f t="shared" si="37"/>
        <v>#DIV/0!</v>
      </c>
      <c r="G310" s="27"/>
      <c r="H310" s="688">
        <f t="shared" si="38"/>
        <v>0</v>
      </c>
      <c r="I310" s="688">
        <f t="shared" si="39"/>
        <v>0</v>
      </c>
      <c r="J310" s="27"/>
      <c r="K310" s="688">
        <f t="shared" si="40"/>
        <v>0</v>
      </c>
      <c r="L310" s="688">
        <f t="shared" si="41"/>
        <v>0</v>
      </c>
      <c r="M310" s="226"/>
      <c r="N310" s="688">
        <f t="shared" si="42"/>
        <v>0</v>
      </c>
      <c r="O310" s="688">
        <f t="shared" si="43"/>
        <v>0</v>
      </c>
      <c r="P310" s="102"/>
      <c r="Q310" s="688">
        <f t="shared" si="44"/>
        <v>0</v>
      </c>
      <c r="R310" s="687">
        <f t="shared" si="45"/>
        <v>0</v>
      </c>
      <c r="S310" s="27"/>
    </row>
    <row r="311" spans="1:19" ht="12.75">
      <c r="A311" s="12"/>
      <c r="B311" s="103" t="str">
        <f t="shared" si="46"/>
        <v>2 A</v>
      </c>
      <c r="C311" s="673">
        <f t="shared" si="34"/>
      </c>
      <c r="D311" s="104">
        <f t="shared" si="35"/>
        <v>0</v>
      </c>
      <c r="E311" s="315">
        <f t="shared" si="36"/>
        <v>0</v>
      </c>
      <c r="F311" s="314" t="e">
        <f t="shared" si="37"/>
        <v>#DIV/0!</v>
      </c>
      <c r="G311" s="27"/>
      <c r="H311" s="688">
        <f t="shared" si="38"/>
        <v>0</v>
      </c>
      <c r="I311" s="688">
        <f t="shared" si="39"/>
        <v>0</v>
      </c>
      <c r="J311" s="27"/>
      <c r="K311" s="688">
        <f t="shared" si="40"/>
        <v>0</v>
      </c>
      <c r="L311" s="688">
        <f t="shared" si="41"/>
        <v>0</v>
      </c>
      <c r="M311" s="226"/>
      <c r="N311" s="688">
        <f t="shared" si="42"/>
        <v>0</v>
      </c>
      <c r="O311" s="688">
        <f t="shared" si="43"/>
        <v>0</v>
      </c>
      <c r="P311" s="102"/>
      <c r="Q311" s="688">
        <f t="shared" si="44"/>
        <v>0</v>
      </c>
      <c r="R311" s="687">
        <f t="shared" si="45"/>
        <v>0</v>
      </c>
      <c r="S311" s="27"/>
    </row>
    <row r="312" spans="1:19" ht="12.75">
      <c r="A312" s="12"/>
      <c r="B312" s="103" t="str">
        <f t="shared" si="46"/>
        <v>3 A</v>
      </c>
      <c r="C312" s="673">
        <f t="shared" si="34"/>
      </c>
      <c r="D312" s="104">
        <f t="shared" si="35"/>
        <v>0</v>
      </c>
      <c r="E312" s="315">
        <f t="shared" si="36"/>
        <v>0</v>
      </c>
      <c r="F312" s="314" t="e">
        <f t="shared" si="37"/>
        <v>#DIV/0!</v>
      </c>
      <c r="G312" s="27"/>
      <c r="H312" s="688">
        <f t="shared" si="38"/>
        <v>0</v>
      </c>
      <c r="I312" s="688">
        <f t="shared" si="39"/>
        <v>0</v>
      </c>
      <c r="J312" s="27"/>
      <c r="K312" s="688">
        <f t="shared" si="40"/>
        <v>0</v>
      </c>
      <c r="L312" s="688">
        <f t="shared" si="41"/>
        <v>0</v>
      </c>
      <c r="M312" s="226"/>
      <c r="N312" s="688">
        <f t="shared" si="42"/>
        <v>0</v>
      </c>
      <c r="O312" s="688">
        <f t="shared" si="43"/>
        <v>0</v>
      </c>
      <c r="P312" s="102"/>
      <c r="Q312" s="688">
        <f t="shared" si="44"/>
        <v>0</v>
      </c>
      <c r="R312" s="687">
        <f t="shared" si="45"/>
        <v>0</v>
      </c>
      <c r="S312" s="27"/>
    </row>
    <row r="313" spans="1:19" ht="12.75">
      <c r="A313" s="12"/>
      <c r="B313" s="103" t="str">
        <f t="shared" si="46"/>
        <v>4 A</v>
      </c>
      <c r="C313" s="673">
        <f t="shared" si="34"/>
      </c>
      <c r="D313" s="104">
        <f t="shared" si="35"/>
        <v>0</v>
      </c>
      <c r="E313" s="315">
        <f t="shared" si="36"/>
        <v>0</v>
      </c>
      <c r="F313" s="314" t="e">
        <f t="shared" si="37"/>
        <v>#DIV/0!</v>
      </c>
      <c r="G313" s="27"/>
      <c r="H313" s="688">
        <f t="shared" si="38"/>
        <v>0</v>
      </c>
      <c r="I313" s="688">
        <f t="shared" si="39"/>
        <v>0</v>
      </c>
      <c r="J313" s="27"/>
      <c r="K313" s="688">
        <f t="shared" si="40"/>
        <v>0</v>
      </c>
      <c r="L313" s="688">
        <f t="shared" si="41"/>
        <v>0</v>
      </c>
      <c r="M313" s="226"/>
      <c r="N313" s="688">
        <f t="shared" si="42"/>
        <v>0</v>
      </c>
      <c r="O313" s="688">
        <f t="shared" si="43"/>
        <v>0</v>
      </c>
      <c r="P313" s="102"/>
      <c r="Q313" s="688">
        <f t="shared" si="44"/>
        <v>0</v>
      </c>
      <c r="R313" s="687">
        <f t="shared" si="45"/>
        <v>0</v>
      </c>
      <c r="S313" s="27"/>
    </row>
    <row r="314" spans="1:19" ht="12.75">
      <c r="A314" s="12"/>
      <c r="B314" s="103" t="str">
        <f t="shared" si="46"/>
        <v>5 A</v>
      </c>
      <c r="C314" s="673">
        <f t="shared" si="34"/>
      </c>
      <c r="D314" s="104">
        <f t="shared" si="35"/>
        <v>0</v>
      </c>
      <c r="E314" s="315">
        <f t="shared" si="36"/>
        <v>0</v>
      </c>
      <c r="F314" s="314" t="e">
        <f t="shared" si="37"/>
        <v>#DIV/0!</v>
      </c>
      <c r="G314" s="27"/>
      <c r="H314" s="688">
        <f t="shared" si="38"/>
        <v>0</v>
      </c>
      <c r="I314" s="688">
        <f t="shared" si="39"/>
        <v>0</v>
      </c>
      <c r="J314" s="27"/>
      <c r="K314" s="688">
        <f t="shared" si="40"/>
        <v>0</v>
      </c>
      <c r="L314" s="688">
        <f t="shared" si="41"/>
        <v>0</v>
      </c>
      <c r="M314" s="226"/>
      <c r="N314" s="688">
        <f t="shared" si="42"/>
        <v>0</v>
      </c>
      <c r="O314" s="688">
        <f t="shared" si="43"/>
        <v>0</v>
      </c>
      <c r="P314" s="102"/>
      <c r="Q314" s="688">
        <f t="shared" si="44"/>
        <v>0</v>
      </c>
      <c r="R314" s="687">
        <f t="shared" si="45"/>
        <v>0</v>
      </c>
      <c r="S314" s="27"/>
    </row>
    <row r="315" spans="1:19" ht="12.75">
      <c r="A315" s="12"/>
      <c r="B315" s="103" t="str">
        <f t="shared" si="46"/>
        <v>6 A</v>
      </c>
      <c r="C315" s="673">
        <f t="shared" si="34"/>
      </c>
      <c r="D315" s="104">
        <f t="shared" si="35"/>
        <v>0</v>
      </c>
      <c r="E315" s="315">
        <f t="shared" si="36"/>
        <v>0</v>
      </c>
      <c r="F315" s="314" t="e">
        <f t="shared" si="37"/>
        <v>#DIV/0!</v>
      </c>
      <c r="G315" s="27"/>
      <c r="H315" s="688">
        <f t="shared" si="38"/>
        <v>0</v>
      </c>
      <c r="I315" s="688">
        <f t="shared" si="39"/>
        <v>0</v>
      </c>
      <c r="J315" s="27"/>
      <c r="K315" s="688">
        <f t="shared" si="40"/>
        <v>0</v>
      </c>
      <c r="L315" s="688">
        <f t="shared" si="41"/>
        <v>0</v>
      </c>
      <c r="M315" s="226"/>
      <c r="N315" s="688">
        <f t="shared" si="42"/>
        <v>0</v>
      </c>
      <c r="O315" s="688">
        <f t="shared" si="43"/>
        <v>0</v>
      </c>
      <c r="P315" s="102"/>
      <c r="Q315" s="688">
        <f t="shared" si="44"/>
        <v>0</v>
      </c>
      <c r="R315" s="687">
        <f t="shared" si="45"/>
        <v>0</v>
      </c>
      <c r="S315" s="27"/>
    </row>
    <row r="316" spans="1:19" ht="12.75">
      <c r="A316" s="12"/>
      <c r="B316" s="103" t="str">
        <f t="shared" si="46"/>
        <v>7 A</v>
      </c>
      <c r="C316" s="673">
        <f t="shared" si="34"/>
      </c>
      <c r="D316" s="104">
        <f t="shared" si="35"/>
        <v>0</v>
      </c>
      <c r="E316" s="315">
        <f t="shared" si="36"/>
        <v>0</v>
      </c>
      <c r="F316" s="314" t="e">
        <f t="shared" si="37"/>
        <v>#DIV/0!</v>
      </c>
      <c r="G316" s="27"/>
      <c r="H316" s="688">
        <f t="shared" si="38"/>
        <v>0</v>
      </c>
      <c r="I316" s="688">
        <f t="shared" si="39"/>
        <v>0</v>
      </c>
      <c r="J316" s="27"/>
      <c r="K316" s="688">
        <f t="shared" si="40"/>
        <v>0</v>
      </c>
      <c r="L316" s="688">
        <f t="shared" si="41"/>
        <v>0</v>
      </c>
      <c r="M316" s="226"/>
      <c r="N316" s="688">
        <f t="shared" si="42"/>
        <v>0</v>
      </c>
      <c r="O316" s="688">
        <f t="shared" si="43"/>
        <v>0</v>
      </c>
      <c r="P316" s="102"/>
      <c r="Q316" s="688">
        <f t="shared" si="44"/>
        <v>0</v>
      </c>
      <c r="R316" s="687">
        <f t="shared" si="45"/>
        <v>0</v>
      </c>
      <c r="S316" s="27"/>
    </row>
    <row r="317" spans="1:19" ht="12.75">
      <c r="A317" s="12"/>
      <c r="B317" s="103" t="str">
        <f t="shared" si="46"/>
        <v>8 A</v>
      </c>
      <c r="C317" s="673">
        <f t="shared" si="34"/>
      </c>
      <c r="D317" s="104">
        <f t="shared" si="35"/>
        <v>0</v>
      </c>
      <c r="E317" s="315">
        <f t="shared" si="36"/>
        <v>0</v>
      </c>
      <c r="F317" s="314" t="e">
        <f t="shared" si="37"/>
        <v>#DIV/0!</v>
      </c>
      <c r="G317" s="27"/>
      <c r="H317" s="688">
        <f t="shared" si="38"/>
        <v>0</v>
      </c>
      <c r="I317" s="688">
        <f t="shared" si="39"/>
        <v>0</v>
      </c>
      <c r="J317" s="27"/>
      <c r="K317" s="688">
        <f t="shared" si="40"/>
        <v>0</v>
      </c>
      <c r="L317" s="688">
        <f t="shared" si="41"/>
        <v>0</v>
      </c>
      <c r="M317" s="226"/>
      <c r="N317" s="688">
        <f t="shared" si="42"/>
        <v>0</v>
      </c>
      <c r="O317" s="688">
        <f t="shared" si="43"/>
        <v>0</v>
      </c>
      <c r="P317" s="102"/>
      <c r="Q317" s="688">
        <f t="shared" si="44"/>
        <v>0</v>
      </c>
      <c r="R317" s="687">
        <f t="shared" si="45"/>
        <v>0</v>
      </c>
      <c r="S317" s="27"/>
    </row>
    <row r="318" spans="1:19" ht="12.75">
      <c r="A318" s="12"/>
      <c r="B318" s="103" t="str">
        <f t="shared" si="46"/>
        <v>9 A</v>
      </c>
      <c r="C318" s="673">
        <f t="shared" si="34"/>
      </c>
      <c r="D318" s="104">
        <f t="shared" si="35"/>
        <v>0</v>
      </c>
      <c r="E318" s="315">
        <f t="shared" si="36"/>
        <v>0</v>
      </c>
      <c r="F318" s="314" t="e">
        <f t="shared" si="37"/>
        <v>#DIV/0!</v>
      </c>
      <c r="G318" s="27"/>
      <c r="H318" s="688">
        <f t="shared" si="38"/>
        <v>0</v>
      </c>
      <c r="I318" s="688">
        <f t="shared" si="39"/>
        <v>0</v>
      </c>
      <c r="J318" s="27"/>
      <c r="K318" s="688">
        <f t="shared" si="40"/>
        <v>0</v>
      </c>
      <c r="L318" s="688">
        <f t="shared" si="41"/>
        <v>0</v>
      </c>
      <c r="M318" s="226"/>
      <c r="N318" s="688">
        <f t="shared" si="42"/>
        <v>0</v>
      </c>
      <c r="O318" s="688">
        <f t="shared" si="43"/>
        <v>0</v>
      </c>
      <c r="P318" s="102"/>
      <c r="Q318" s="688">
        <f t="shared" si="44"/>
        <v>0</v>
      </c>
      <c r="R318" s="687">
        <f t="shared" si="45"/>
        <v>0</v>
      </c>
      <c r="S318" s="27"/>
    </row>
    <row r="319" spans="1:19" ht="12.75">
      <c r="A319" s="12"/>
      <c r="B319" s="103" t="str">
        <f t="shared" si="46"/>
        <v>10 A</v>
      </c>
      <c r="C319" s="673">
        <f t="shared" si="34"/>
      </c>
      <c r="D319" s="104">
        <f t="shared" si="35"/>
        <v>0</v>
      </c>
      <c r="E319" s="315">
        <f t="shared" si="36"/>
        <v>0</v>
      </c>
      <c r="F319" s="314" t="e">
        <f t="shared" si="37"/>
        <v>#DIV/0!</v>
      </c>
      <c r="G319" s="27"/>
      <c r="H319" s="688">
        <f t="shared" si="38"/>
        <v>0</v>
      </c>
      <c r="I319" s="688">
        <f t="shared" si="39"/>
        <v>0</v>
      </c>
      <c r="J319" s="27"/>
      <c r="K319" s="688">
        <f t="shared" si="40"/>
        <v>0</v>
      </c>
      <c r="L319" s="688">
        <f t="shared" si="41"/>
        <v>0</v>
      </c>
      <c r="M319" s="226"/>
      <c r="N319" s="688">
        <f t="shared" si="42"/>
        <v>0</v>
      </c>
      <c r="O319" s="688">
        <f t="shared" si="43"/>
        <v>0</v>
      </c>
      <c r="P319" s="102"/>
      <c r="Q319" s="688">
        <f t="shared" si="44"/>
        <v>0</v>
      </c>
      <c r="R319" s="687">
        <f t="shared" si="45"/>
        <v>0</v>
      </c>
      <c r="S319" s="27"/>
    </row>
    <row r="320" spans="1:19" ht="12.75">
      <c r="A320" s="12"/>
      <c r="B320" s="103" t="str">
        <f t="shared" si="46"/>
        <v>11 A</v>
      </c>
      <c r="C320" s="673">
        <f t="shared" si="34"/>
      </c>
      <c r="D320" s="104">
        <f t="shared" si="35"/>
        <v>0</v>
      </c>
      <c r="E320" s="315">
        <f t="shared" si="36"/>
        <v>0</v>
      </c>
      <c r="F320" s="314" t="e">
        <f t="shared" si="37"/>
        <v>#DIV/0!</v>
      </c>
      <c r="G320" s="27"/>
      <c r="H320" s="688">
        <f t="shared" si="38"/>
        <v>0</v>
      </c>
      <c r="I320" s="688">
        <f t="shared" si="39"/>
        <v>0</v>
      </c>
      <c r="J320" s="27"/>
      <c r="K320" s="688">
        <f t="shared" si="40"/>
        <v>0</v>
      </c>
      <c r="L320" s="688">
        <f t="shared" si="41"/>
        <v>0</v>
      </c>
      <c r="M320" s="226"/>
      <c r="N320" s="688">
        <f t="shared" si="42"/>
        <v>0</v>
      </c>
      <c r="O320" s="688">
        <f t="shared" si="43"/>
        <v>0</v>
      </c>
      <c r="P320" s="102"/>
      <c r="Q320" s="688">
        <f t="shared" si="44"/>
        <v>0</v>
      </c>
      <c r="R320" s="687">
        <f t="shared" si="45"/>
        <v>0</v>
      </c>
      <c r="S320" s="27"/>
    </row>
    <row r="321" spans="1:19" ht="12.75">
      <c r="A321" s="12"/>
      <c r="B321" s="103" t="str">
        <f t="shared" si="46"/>
        <v>12 P</v>
      </c>
      <c r="C321" s="673">
        <f t="shared" si="34"/>
      </c>
      <c r="D321" s="104">
        <f t="shared" si="35"/>
        <v>0</v>
      </c>
      <c r="E321" s="315">
        <f t="shared" si="36"/>
        <v>0</v>
      </c>
      <c r="F321" s="314" t="e">
        <f t="shared" si="37"/>
        <v>#DIV/0!</v>
      </c>
      <c r="G321" s="27"/>
      <c r="H321" s="688">
        <f t="shared" si="38"/>
        <v>0</v>
      </c>
      <c r="I321" s="688">
        <f t="shared" si="39"/>
        <v>0</v>
      </c>
      <c r="J321" s="27"/>
      <c r="K321" s="688">
        <f t="shared" si="40"/>
        <v>0</v>
      </c>
      <c r="L321" s="688">
        <f t="shared" si="41"/>
        <v>0</v>
      </c>
      <c r="M321" s="226"/>
      <c r="N321" s="688">
        <f t="shared" si="42"/>
        <v>0</v>
      </c>
      <c r="O321" s="688">
        <f t="shared" si="43"/>
        <v>0</v>
      </c>
      <c r="P321" s="102"/>
      <c r="Q321" s="688">
        <f t="shared" si="44"/>
        <v>0</v>
      </c>
      <c r="R321" s="687">
        <f t="shared" si="45"/>
        <v>0</v>
      </c>
      <c r="S321" s="27"/>
    </row>
    <row r="322" spans="1:19" ht="12.75">
      <c r="A322" s="12"/>
      <c r="B322" s="103" t="str">
        <f t="shared" si="46"/>
        <v>1 P</v>
      </c>
      <c r="C322" s="673">
        <f t="shared" si="34"/>
      </c>
      <c r="D322" s="104">
        <f t="shared" si="35"/>
        <v>0</v>
      </c>
      <c r="E322" s="315">
        <f t="shared" si="36"/>
        <v>0</v>
      </c>
      <c r="F322" s="314" t="e">
        <f t="shared" si="37"/>
        <v>#DIV/0!</v>
      </c>
      <c r="G322" s="27"/>
      <c r="H322" s="688">
        <f t="shared" si="38"/>
        <v>0</v>
      </c>
      <c r="I322" s="688">
        <f t="shared" si="39"/>
        <v>0</v>
      </c>
      <c r="J322" s="27"/>
      <c r="K322" s="688">
        <f t="shared" si="40"/>
        <v>0</v>
      </c>
      <c r="L322" s="688">
        <f t="shared" si="41"/>
        <v>0</v>
      </c>
      <c r="M322" s="226"/>
      <c r="N322" s="688">
        <f t="shared" si="42"/>
        <v>0</v>
      </c>
      <c r="O322" s="688">
        <f t="shared" si="43"/>
        <v>0</v>
      </c>
      <c r="P322" s="102"/>
      <c r="Q322" s="688">
        <f t="shared" si="44"/>
        <v>0</v>
      </c>
      <c r="R322" s="687">
        <f t="shared" si="45"/>
        <v>0</v>
      </c>
      <c r="S322" s="27"/>
    </row>
    <row r="323" spans="1:19" ht="12.75">
      <c r="A323" s="12"/>
      <c r="B323" s="103" t="str">
        <f t="shared" si="46"/>
        <v>2 P</v>
      </c>
      <c r="C323" s="673">
        <f t="shared" si="34"/>
      </c>
      <c r="D323" s="104">
        <f t="shared" si="35"/>
        <v>0</v>
      </c>
      <c r="E323" s="315">
        <f t="shared" si="36"/>
        <v>0</v>
      </c>
      <c r="F323" s="314" t="e">
        <f t="shared" si="37"/>
        <v>#DIV/0!</v>
      </c>
      <c r="G323" s="27"/>
      <c r="H323" s="688">
        <f t="shared" si="38"/>
        <v>0</v>
      </c>
      <c r="I323" s="688">
        <f t="shared" si="39"/>
        <v>0</v>
      </c>
      <c r="J323" s="27"/>
      <c r="K323" s="688">
        <f t="shared" si="40"/>
        <v>0</v>
      </c>
      <c r="L323" s="688">
        <f t="shared" si="41"/>
        <v>0</v>
      </c>
      <c r="M323" s="226"/>
      <c r="N323" s="688">
        <f t="shared" si="42"/>
        <v>0</v>
      </c>
      <c r="O323" s="688">
        <f t="shared" si="43"/>
        <v>0</v>
      </c>
      <c r="P323" s="102"/>
      <c r="Q323" s="688">
        <f t="shared" si="44"/>
        <v>0</v>
      </c>
      <c r="R323" s="687">
        <f t="shared" si="45"/>
        <v>0</v>
      </c>
      <c r="S323" s="27"/>
    </row>
    <row r="324" spans="1:19" ht="12.75">
      <c r="A324" s="12"/>
      <c r="B324" s="103" t="str">
        <f t="shared" si="46"/>
        <v>3 P</v>
      </c>
      <c r="C324" s="673">
        <f t="shared" si="34"/>
      </c>
      <c r="D324" s="104">
        <f t="shared" si="35"/>
        <v>0</v>
      </c>
      <c r="E324" s="315">
        <f t="shared" si="36"/>
        <v>0</v>
      </c>
      <c r="F324" s="314" t="e">
        <f t="shared" si="37"/>
        <v>#DIV/0!</v>
      </c>
      <c r="G324" s="27"/>
      <c r="H324" s="688">
        <f t="shared" si="38"/>
        <v>0</v>
      </c>
      <c r="I324" s="688">
        <f t="shared" si="39"/>
        <v>0</v>
      </c>
      <c r="J324" s="27"/>
      <c r="K324" s="688">
        <f t="shared" si="40"/>
        <v>0</v>
      </c>
      <c r="L324" s="688">
        <f t="shared" si="41"/>
        <v>0</v>
      </c>
      <c r="M324" s="226"/>
      <c r="N324" s="688">
        <f t="shared" si="42"/>
        <v>0</v>
      </c>
      <c r="O324" s="688">
        <f t="shared" si="43"/>
        <v>0</v>
      </c>
      <c r="P324" s="102"/>
      <c r="Q324" s="688">
        <f t="shared" si="44"/>
        <v>0</v>
      </c>
      <c r="R324" s="687">
        <f t="shared" si="45"/>
        <v>0</v>
      </c>
      <c r="S324" s="27"/>
    </row>
    <row r="325" spans="1:19" ht="12.75">
      <c r="A325" s="12"/>
      <c r="B325" s="103" t="str">
        <f t="shared" si="46"/>
        <v>4 P</v>
      </c>
      <c r="C325" s="673">
        <f t="shared" si="34"/>
      </c>
      <c r="D325" s="104">
        <f t="shared" si="35"/>
        <v>0</v>
      </c>
      <c r="E325" s="315">
        <f t="shared" si="36"/>
        <v>0</v>
      </c>
      <c r="F325" s="314" t="e">
        <f t="shared" si="37"/>
        <v>#DIV/0!</v>
      </c>
      <c r="G325" s="27"/>
      <c r="H325" s="688">
        <f t="shared" si="38"/>
        <v>0</v>
      </c>
      <c r="I325" s="688">
        <f t="shared" si="39"/>
        <v>0</v>
      </c>
      <c r="J325" s="27"/>
      <c r="K325" s="688">
        <f t="shared" si="40"/>
        <v>0</v>
      </c>
      <c r="L325" s="688">
        <f t="shared" si="41"/>
        <v>0</v>
      </c>
      <c r="M325" s="226"/>
      <c r="N325" s="688">
        <f t="shared" si="42"/>
        <v>0</v>
      </c>
      <c r="O325" s="688">
        <f t="shared" si="43"/>
        <v>0</v>
      </c>
      <c r="P325" s="102"/>
      <c r="Q325" s="688">
        <f t="shared" si="44"/>
        <v>0</v>
      </c>
      <c r="R325" s="687">
        <f t="shared" si="45"/>
        <v>0</v>
      </c>
      <c r="S325" s="27"/>
    </row>
    <row r="326" spans="1:19" ht="12.75">
      <c r="A326" s="12"/>
      <c r="B326" s="103" t="str">
        <f t="shared" si="46"/>
        <v>5 P</v>
      </c>
      <c r="C326" s="673">
        <f t="shared" si="34"/>
      </c>
      <c r="D326" s="104">
        <f t="shared" si="35"/>
        <v>0</v>
      </c>
      <c r="E326" s="315">
        <f t="shared" si="36"/>
        <v>0</v>
      </c>
      <c r="F326" s="314" t="e">
        <f t="shared" si="37"/>
        <v>#DIV/0!</v>
      </c>
      <c r="G326" s="27"/>
      <c r="H326" s="688">
        <f t="shared" si="38"/>
        <v>0</v>
      </c>
      <c r="I326" s="688">
        <f t="shared" si="39"/>
        <v>0</v>
      </c>
      <c r="J326" s="27"/>
      <c r="K326" s="688">
        <f t="shared" si="40"/>
        <v>0</v>
      </c>
      <c r="L326" s="688">
        <f t="shared" si="41"/>
        <v>0</v>
      </c>
      <c r="M326" s="226"/>
      <c r="N326" s="688">
        <f t="shared" si="42"/>
        <v>0</v>
      </c>
      <c r="O326" s="688">
        <f t="shared" si="43"/>
        <v>0</v>
      </c>
      <c r="P326" s="102"/>
      <c r="Q326" s="688">
        <f t="shared" si="44"/>
        <v>0</v>
      </c>
      <c r="R326" s="687">
        <f t="shared" si="45"/>
        <v>0</v>
      </c>
      <c r="S326" s="27"/>
    </row>
    <row r="327" spans="1:19" ht="12.75">
      <c r="A327" s="107"/>
      <c r="B327" s="103" t="str">
        <f t="shared" si="46"/>
        <v>6 P</v>
      </c>
      <c r="C327" s="673">
        <f t="shared" si="34"/>
      </c>
      <c r="D327" s="104">
        <f t="shared" si="35"/>
        <v>0</v>
      </c>
      <c r="E327" s="315">
        <f t="shared" si="36"/>
        <v>0</v>
      </c>
      <c r="F327" s="314" t="e">
        <f t="shared" si="37"/>
        <v>#DIV/0!</v>
      </c>
      <c r="G327" s="27"/>
      <c r="H327" s="688">
        <f t="shared" si="38"/>
        <v>0</v>
      </c>
      <c r="I327" s="688">
        <f t="shared" si="39"/>
        <v>0</v>
      </c>
      <c r="J327" s="27"/>
      <c r="K327" s="688">
        <f t="shared" si="40"/>
        <v>0</v>
      </c>
      <c r="L327" s="688">
        <f t="shared" si="41"/>
        <v>0</v>
      </c>
      <c r="M327" s="226"/>
      <c r="N327" s="688">
        <f t="shared" si="42"/>
        <v>0</v>
      </c>
      <c r="O327" s="688">
        <f t="shared" si="43"/>
        <v>0</v>
      </c>
      <c r="P327" s="102"/>
      <c r="Q327" s="688">
        <f t="shared" si="44"/>
        <v>0</v>
      </c>
      <c r="R327" s="687">
        <f t="shared" si="45"/>
        <v>0</v>
      </c>
      <c r="S327" s="27"/>
    </row>
    <row r="328" spans="1:19" ht="12.75">
      <c r="A328" s="12"/>
      <c r="B328" s="103" t="str">
        <f t="shared" si="46"/>
        <v>7 P</v>
      </c>
      <c r="C328" s="673">
        <f t="shared" si="34"/>
      </c>
      <c r="D328" s="104">
        <f t="shared" si="35"/>
        <v>0</v>
      </c>
      <c r="E328" s="315">
        <f t="shared" si="36"/>
        <v>0</v>
      </c>
      <c r="F328" s="314" t="e">
        <f t="shared" si="37"/>
        <v>#DIV/0!</v>
      </c>
      <c r="G328" s="27"/>
      <c r="H328" s="688">
        <f t="shared" si="38"/>
        <v>0</v>
      </c>
      <c r="I328" s="688">
        <f t="shared" si="39"/>
        <v>0</v>
      </c>
      <c r="J328" s="27"/>
      <c r="K328" s="688">
        <f t="shared" si="40"/>
        <v>0</v>
      </c>
      <c r="L328" s="688">
        <f t="shared" si="41"/>
        <v>0</v>
      </c>
      <c r="M328" s="226"/>
      <c r="N328" s="688">
        <f t="shared" si="42"/>
        <v>0</v>
      </c>
      <c r="O328" s="688">
        <f t="shared" si="43"/>
        <v>0</v>
      </c>
      <c r="P328" s="102"/>
      <c r="Q328" s="688">
        <f t="shared" si="44"/>
        <v>0</v>
      </c>
      <c r="R328" s="687">
        <f t="shared" si="45"/>
        <v>0</v>
      </c>
      <c r="S328" s="27"/>
    </row>
    <row r="329" spans="1:19" ht="12.75">
      <c r="A329" s="12"/>
      <c r="B329" s="103" t="str">
        <f t="shared" si="46"/>
        <v>8 P</v>
      </c>
      <c r="C329" s="673">
        <f t="shared" si="34"/>
      </c>
      <c r="D329" s="104">
        <f t="shared" si="35"/>
        <v>0</v>
      </c>
      <c r="E329" s="315">
        <f t="shared" si="36"/>
        <v>0</v>
      </c>
      <c r="F329" s="314" t="e">
        <f t="shared" si="37"/>
        <v>#DIV/0!</v>
      </c>
      <c r="G329" s="27"/>
      <c r="H329" s="688">
        <f t="shared" si="38"/>
        <v>0</v>
      </c>
      <c r="I329" s="688">
        <f t="shared" si="39"/>
        <v>0</v>
      </c>
      <c r="J329" s="27"/>
      <c r="K329" s="688">
        <f t="shared" si="40"/>
        <v>0</v>
      </c>
      <c r="L329" s="688">
        <f t="shared" si="41"/>
        <v>0</v>
      </c>
      <c r="M329" s="226"/>
      <c r="N329" s="688">
        <f t="shared" si="42"/>
        <v>0</v>
      </c>
      <c r="O329" s="688">
        <f t="shared" si="43"/>
        <v>0</v>
      </c>
      <c r="P329" s="102"/>
      <c r="Q329" s="688">
        <f t="shared" si="44"/>
        <v>0</v>
      </c>
      <c r="R329" s="687">
        <f t="shared" si="45"/>
        <v>0</v>
      </c>
      <c r="S329" s="27"/>
    </row>
    <row r="330" spans="1:19" ht="12.75">
      <c r="A330" s="12"/>
      <c r="B330" s="103" t="str">
        <f t="shared" si="46"/>
        <v>9 P</v>
      </c>
      <c r="C330" s="673">
        <f t="shared" si="34"/>
      </c>
      <c r="D330" s="104">
        <f t="shared" si="35"/>
        <v>0</v>
      </c>
      <c r="E330" s="315">
        <f t="shared" si="36"/>
        <v>0</v>
      </c>
      <c r="F330" s="314" t="e">
        <f t="shared" si="37"/>
        <v>#DIV/0!</v>
      </c>
      <c r="G330" s="27"/>
      <c r="H330" s="688">
        <f t="shared" si="38"/>
        <v>0</v>
      </c>
      <c r="I330" s="688">
        <f t="shared" si="39"/>
        <v>0</v>
      </c>
      <c r="J330" s="27"/>
      <c r="K330" s="688">
        <f t="shared" si="40"/>
        <v>0</v>
      </c>
      <c r="L330" s="688">
        <f t="shared" si="41"/>
        <v>0</v>
      </c>
      <c r="M330" s="226"/>
      <c r="N330" s="688">
        <f t="shared" si="42"/>
        <v>0</v>
      </c>
      <c r="O330" s="688">
        <f t="shared" si="43"/>
        <v>0</v>
      </c>
      <c r="P330" s="102"/>
      <c r="Q330" s="688">
        <f t="shared" si="44"/>
        <v>0</v>
      </c>
      <c r="R330" s="687">
        <f t="shared" si="45"/>
        <v>0</v>
      </c>
      <c r="S330" s="27"/>
    </row>
    <row r="331" spans="1:19" ht="12.75">
      <c r="A331" s="12"/>
      <c r="B331" s="103" t="str">
        <f t="shared" si="46"/>
        <v>10 P</v>
      </c>
      <c r="C331" s="673">
        <f t="shared" si="34"/>
      </c>
      <c r="D331" s="104">
        <f t="shared" si="35"/>
        <v>0</v>
      </c>
      <c r="E331" s="315">
        <f t="shared" si="36"/>
        <v>0</v>
      </c>
      <c r="F331" s="314" t="e">
        <f t="shared" si="37"/>
        <v>#DIV/0!</v>
      </c>
      <c r="G331" s="27"/>
      <c r="H331" s="688">
        <f t="shared" si="38"/>
        <v>0</v>
      </c>
      <c r="I331" s="688">
        <f t="shared" si="39"/>
        <v>0</v>
      </c>
      <c r="J331" s="27"/>
      <c r="K331" s="688">
        <f t="shared" si="40"/>
        <v>0</v>
      </c>
      <c r="L331" s="688">
        <f t="shared" si="41"/>
        <v>0</v>
      </c>
      <c r="M331" s="226"/>
      <c r="N331" s="688">
        <f t="shared" si="42"/>
        <v>0</v>
      </c>
      <c r="O331" s="688">
        <f t="shared" si="43"/>
        <v>0</v>
      </c>
      <c r="P331" s="102"/>
      <c r="Q331" s="688">
        <f t="shared" si="44"/>
        <v>0</v>
      </c>
      <c r="R331" s="687">
        <f t="shared" si="45"/>
        <v>0</v>
      </c>
      <c r="S331" s="27"/>
    </row>
    <row r="332" spans="1:19" ht="13.5" thickBot="1">
      <c r="A332" s="12"/>
      <c r="B332" s="103" t="str">
        <f t="shared" si="46"/>
        <v>11 P</v>
      </c>
      <c r="C332" s="673">
        <f t="shared" si="34"/>
      </c>
      <c r="D332" s="104">
        <f t="shared" si="35"/>
        <v>0</v>
      </c>
      <c r="E332" s="315">
        <f t="shared" si="36"/>
        <v>0</v>
      </c>
      <c r="F332" s="314" t="e">
        <f t="shared" si="37"/>
        <v>#DIV/0!</v>
      </c>
      <c r="G332" s="27"/>
      <c r="H332" s="688">
        <f t="shared" si="38"/>
        <v>0</v>
      </c>
      <c r="I332" s="688">
        <f t="shared" si="39"/>
        <v>0</v>
      </c>
      <c r="J332" s="27"/>
      <c r="K332" s="688">
        <f t="shared" si="40"/>
        <v>0</v>
      </c>
      <c r="L332" s="688">
        <f t="shared" si="41"/>
        <v>0</v>
      </c>
      <c r="M332" s="226"/>
      <c r="N332" s="688">
        <f t="shared" si="42"/>
        <v>0</v>
      </c>
      <c r="O332" s="688">
        <f t="shared" si="43"/>
        <v>0</v>
      </c>
      <c r="P332" s="102"/>
      <c r="Q332" s="688">
        <f t="shared" si="44"/>
        <v>0</v>
      </c>
      <c r="R332" s="687">
        <f t="shared" si="45"/>
        <v>0</v>
      </c>
      <c r="S332" s="27"/>
    </row>
    <row r="333" spans="1:19" ht="12.75">
      <c r="A333" s="12"/>
      <c r="B333" s="108" t="s">
        <v>139</v>
      </c>
      <c r="C333" s="109">
        <f>SUM(C309:C332)</f>
        <v>0</v>
      </c>
      <c r="D333" s="110">
        <f>SUM(D309:D332)</f>
        <v>0</v>
      </c>
      <c r="E333" s="660">
        <f>SUM(E309:E332)</f>
        <v>0</v>
      </c>
      <c r="F333" s="316" t="e">
        <f>SUM(F309:F332)</f>
        <v>#DIV/0!</v>
      </c>
      <c r="G333" s="27"/>
      <c r="H333" s="660">
        <f>SUM(H309:H332)</f>
        <v>0</v>
      </c>
      <c r="I333" s="663">
        <f>SUM(I309:I332)</f>
        <v>0</v>
      </c>
      <c r="J333" s="27"/>
      <c r="K333" s="689">
        <f>SUM(K309:K332)</f>
        <v>0</v>
      </c>
      <c r="L333" s="689">
        <f>SUM(L309:L332)</f>
        <v>0</v>
      </c>
      <c r="M333" s="226"/>
      <c r="N333" s="689">
        <f>SUM(N309:N332)</f>
        <v>0</v>
      </c>
      <c r="O333" s="689">
        <f>SUM(O309:O332)</f>
        <v>0</v>
      </c>
      <c r="P333" s="102"/>
      <c r="Q333" s="689">
        <f>SUM(Q309:Q332)</f>
        <v>0</v>
      </c>
      <c r="R333" s="748">
        <f t="shared" si="45"/>
        <v>0</v>
      </c>
      <c r="S333" s="27"/>
    </row>
    <row r="334" spans="1:19" ht="12.75">
      <c r="A334" s="12"/>
      <c r="B334" s="112" t="s">
        <v>141</v>
      </c>
      <c r="C334" s="113">
        <f>MAX(C309:C332)</f>
        <v>0</v>
      </c>
      <c r="D334" s="114">
        <f>MAX(D309:D332)</f>
        <v>0</v>
      </c>
      <c r="E334" s="661">
        <f>MAX(E309:E332)</f>
        <v>0</v>
      </c>
      <c r="F334" s="314" t="e">
        <f>MAX(F309:F332)</f>
        <v>#DIV/0!</v>
      </c>
      <c r="G334" s="27"/>
      <c r="H334" s="661">
        <f>MAX(H309:H332)</f>
        <v>0</v>
      </c>
      <c r="I334" s="664">
        <f>MAX(I309:I332)</f>
        <v>0</v>
      </c>
      <c r="J334" s="27"/>
      <c r="K334" s="690">
        <f>MAX(K309:K332)</f>
        <v>0</v>
      </c>
      <c r="L334" s="690">
        <f>MAX(L309:L332)</f>
        <v>0</v>
      </c>
      <c r="M334" s="226"/>
      <c r="N334" s="690">
        <f>MAX(N309:N332)</f>
        <v>0</v>
      </c>
      <c r="O334" s="690">
        <f>MAX(O309:O332)</f>
        <v>0</v>
      </c>
      <c r="P334" s="102"/>
      <c r="Q334" s="690">
        <f>MAX(Q309:Q332)</f>
        <v>0</v>
      </c>
      <c r="R334" s="639">
        <f t="shared" si="45"/>
        <v>0</v>
      </c>
      <c r="S334" s="27"/>
    </row>
    <row r="335" spans="1:19" ht="13.5" thickBot="1">
      <c r="A335" s="12"/>
      <c r="B335" s="115" t="s">
        <v>142</v>
      </c>
      <c r="C335" s="116">
        <f>MIN(C309:C332)</f>
        <v>0</v>
      </c>
      <c r="D335" s="117">
        <f>MIN(D309:D332)</f>
        <v>0</v>
      </c>
      <c r="E335" s="662">
        <f>MIN(E309:E332)</f>
        <v>0</v>
      </c>
      <c r="F335" s="314" t="e">
        <f>MIN(F309:F332)</f>
        <v>#DIV/0!</v>
      </c>
      <c r="G335" s="27"/>
      <c r="H335" s="662">
        <f>MIN(H309:H332)</f>
        <v>0</v>
      </c>
      <c r="I335" s="665">
        <f>MIN(I309:I332)</f>
        <v>0</v>
      </c>
      <c r="J335" s="27"/>
      <c r="K335" s="691">
        <f>MIN(K309:K332)</f>
        <v>0</v>
      </c>
      <c r="L335" s="691">
        <f>MIN(L309:L332)</f>
        <v>0</v>
      </c>
      <c r="M335" s="226"/>
      <c r="N335" s="691">
        <f>MIN(N309:N332)</f>
        <v>0</v>
      </c>
      <c r="O335" s="691">
        <f>MIN(O309:O332)</f>
        <v>0</v>
      </c>
      <c r="P335" s="102"/>
      <c r="Q335" s="690">
        <f>MIN(Q309:Q332)</f>
        <v>0</v>
      </c>
      <c r="R335" s="702">
        <f t="shared" si="45"/>
        <v>0</v>
      </c>
      <c r="S335" s="27"/>
    </row>
    <row r="336" spans="1:19" ht="4.5" customHeight="1" thickBot="1">
      <c r="A336" s="20"/>
      <c r="B336" s="544"/>
      <c r="C336" s="630"/>
      <c r="D336" s="659"/>
      <c r="E336" s="544"/>
      <c r="F336" s="372"/>
      <c r="G336" s="17"/>
      <c r="H336" s="17"/>
      <c r="I336" s="17"/>
      <c r="J336" s="17"/>
      <c r="K336" s="17"/>
      <c r="L336" s="17"/>
      <c r="M336" s="17"/>
      <c r="N336" s="17"/>
      <c r="O336" s="17"/>
      <c r="P336" s="17"/>
      <c r="Q336" s="372"/>
      <c r="R336" s="372"/>
      <c r="S336" s="18"/>
    </row>
    <row r="337" ht="12.75">
      <c r="G337"/>
    </row>
    <row r="338" ht="24" customHeight="1">
      <c r="G338"/>
    </row>
    <row r="339" ht="12.75">
      <c r="G339"/>
    </row>
    <row r="340" spans="2:7" ht="15.75" thickBot="1">
      <c r="B340" s="83" t="s">
        <v>159</v>
      </c>
      <c r="G340"/>
    </row>
    <row r="341" spans="1:19" ht="5.25" customHeight="1" thickBot="1">
      <c r="A341" s="22"/>
      <c r="B341" s="14"/>
      <c r="C341" s="14"/>
      <c r="D341" s="14"/>
      <c r="E341" s="14"/>
      <c r="F341" s="14"/>
      <c r="G341" s="84"/>
      <c r="H341" s="14"/>
      <c r="I341" s="14"/>
      <c r="J341" s="14"/>
      <c r="K341" s="14"/>
      <c r="L341" s="14"/>
      <c r="M341" s="14"/>
      <c r="N341" s="14"/>
      <c r="O341" s="14"/>
      <c r="P341" s="14"/>
      <c r="Q341" s="14"/>
      <c r="R341" s="14"/>
      <c r="S341" s="21"/>
    </row>
    <row r="342" spans="1:19" ht="13.5" thickBot="1">
      <c r="A342" s="12"/>
      <c r="B342" s="31"/>
      <c r="C342" s="23"/>
      <c r="D342" s="23"/>
      <c r="E342" s="43" t="s">
        <v>2</v>
      </c>
      <c r="F342" s="377">
        <f>IF($F$95="","",$F$95)</f>
        <v>60</v>
      </c>
      <c r="G342" s="27"/>
      <c r="H342" s="86" t="s">
        <v>3</v>
      </c>
      <c r="I342" s="87"/>
      <c r="J342" s="24"/>
      <c r="K342" s="24"/>
      <c r="L342" s="28"/>
      <c r="M342" s="1"/>
      <c r="N342" s="86" t="s">
        <v>4</v>
      </c>
      <c r="O342" s="87"/>
      <c r="P342" s="24"/>
      <c r="Q342" s="24"/>
      <c r="R342" s="24"/>
      <c r="S342" s="27"/>
    </row>
    <row r="343" spans="1:19" ht="12.75">
      <c r="A343" s="12"/>
      <c r="B343" s="33"/>
      <c r="C343" s="6"/>
      <c r="D343" s="6"/>
      <c r="E343" s="45" t="s">
        <v>5</v>
      </c>
      <c r="F343" s="379">
        <f>IF($F$96="","",$F$96)</f>
      </c>
      <c r="G343" s="27"/>
      <c r="H343" s="88" t="s">
        <v>6</v>
      </c>
      <c r="I343" s="170">
        <f>IF($I$96="","",$I$96)</f>
      </c>
      <c r="J343" s="171"/>
      <c r="K343" s="171"/>
      <c r="L343" s="172"/>
      <c r="M343" s="1"/>
      <c r="N343" s="88" t="s">
        <v>7</v>
      </c>
      <c r="O343" s="295">
        <f>IF(O252="","",O252)</f>
      </c>
      <c r="P343" s="181"/>
      <c r="Q343" s="181"/>
      <c r="R343" s="181"/>
      <c r="S343" s="27"/>
    </row>
    <row r="344" spans="1:19" ht="13.5" thickBot="1">
      <c r="A344" s="12"/>
      <c r="B344" s="35"/>
      <c r="C344" s="26"/>
      <c r="D344" s="26"/>
      <c r="E344" s="46" t="s">
        <v>9</v>
      </c>
      <c r="F344" s="381">
        <f>IF($F$97="","",$F$97)</f>
      </c>
      <c r="G344" s="27"/>
      <c r="H344" s="89" t="s">
        <v>10</v>
      </c>
      <c r="I344" s="250">
        <f>IF($I$97="","",$I$97)</f>
      </c>
      <c r="J344" s="173"/>
      <c r="K344" s="173"/>
      <c r="L344" s="174"/>
      <c r="M344" s="1"/>
      <c r="N344" s="89" t="s">
        <v>10</v>
      </c>
      <c r="O344" s="296" t="s">
        <v>471</v>
      </c>
      <c r="P344" s="30"/>
      <c r="Q344" s="30"/>
      <c r="R344" s="30"/>
      <c r="S344" s="27"/>
    </row>
    <row r="345" spans="1:19" ht="13.5" thickBot="1">
      <c r="A345" s="12"/>
      <c r="B345" s="165" t="s">
        <v>12</v>
      </c>
      <c r="C345" s="166"/>
      <c r="D345" s="166"/>
      <c r="E345" s="317" t="s">
        <v>13</v>
      </c>
      <c r="F345" s="383" t="s">
        <v>14</v>
      </c>
      <c r="G345" s="27"/>
      <c r="H345" s="22"/>
      <c r="I345" s="85" t="s">
        <v>15</v>
      </c>
      <c r="J345" s="123">
        <v>33081</v>
      </c>
      <c r="K345" s="175">
        <f>IF($K$98="","",$K$98)</f>
      </c>
      <c r="L345" s="176"/>
      <c r="M345" s="1"/>
      <c r="N345" s="22"/>
      <c r="O345" s="189" t="s">
        <v>16</v>
      </c>
      <c r="P345" s="15"/>
      <c r="Q345" s="175">
        <f>IF($Q$98="","",$Q$98)</f>
      </c>
      <c r="R345" s="176"/>
      <c r="S345" s="27"/>
    </row>
    <row r="346" spans="1:19" ht="12.75">
      <c r="A346" s="12"/>
      <c r="B346" s="47"/>
      <c r="C346" s="10"/>
      <c r="D346" s="313" t="s">
        <v>17</v>
      </c>
      <c r="E346" s="291">
        <f>IF($E$99="","",$E$99)</f>
        <v>1</v>
      </c>
      <c r="F346" s="385">
        <f>IF($F$99="","",$F$99)</f>
      </c>
      <c r="G346" s="27"/>
      <c r="H346" s="12"/>
      <c r="I346" s="82" t="s">
        <v>18</v>
      </c>
      <c r="J346" s="123"/>
      <c r="K346" s="177">
        <f>IF($K$99="","",$K$99)</f>
      </c>
      <c r="L346" s="178"/>
      <c r="M346" s="1"/>
      <c r="N346" s="12"/>
      <c r="O346" s="189" t="s">
        <v>19</v>
      </c>
      <c r="P346" s="15"/>
      <c r="Q346" s="177">
        <f>IF($Q$99="","",$Q$99)</f>
      </c>
      <c r="R346" s="178"/>
      <c r="S346" s="27"/>
    </row>
    <row r="347" spans="1:19" ht="13.5" thickBot="1">
      <c r="A347" s="12"/>
      <c r="B347" s="33"/>
      <c r="C347" s="6"/>
      <c r="D347" s="152" t="s">
        <v>20</v>
      </c>
      <c r="E347" s="276">
        <f>IF($E$100="","",$E$100)</f>
        <v>10.79</v>
      </c>
      <c r="F347" s="386">
        <f>IF($F$100="","",$F$100)</f>
        <v>10.79</v>
      </c>
      <c r="G347" s="27"/>
      <c r="H347" s="20"/>
      <c r="I347" s="90" t="s">
        <v>21</v>
      </c>
      <c r="J347" s="124">
        <v>35550</v>
      </c>
      <c r="K347" s="179">
        <f>IF($K$100="","",$K$100)</f>
      </c>
      <c r="L347" s="180"/>
      <c r="M347" s="1"/>
      <c r="N347" s="20"/>
      <c r="O347" s="190" t="s">
        <v>22</v>
      </c>
      <c r="P347" s="30"/>
      <c r="Q347" s="243">
        <f>IF($Q$100="","",$Q$100)</f>
      </c>
      <c r="R347" s="180"/>
      <c r="S347" s="27"/>
    </row>
    <row r="348" spans="1:19" ht="12.75">
      <c r="A348" s="12"/>
      <c r="B348" s="47"/>
      <c r="C348" s="10"/>
      <c r="D348" s="154" t="s">
        <v>23</v>
      </c>
      <c r="E348" s="277">
        <f>IF($E$101="","",$E$101)</f>
        <v>0.3</v>
      </c>
      <c r="F348" s="387">
        <f>IF($F$101="","",$F$101)</f>
        <v>1</v>
      </c>
      <c r="G348" s="27"/>
      <c r="H348" s="290" t="s">
        <v>24</v>
      </c>
      <c r="I348" s="119"/>
      <c r="J348" s="119"/>
      <c r="K348" s="119"/>
      <c r="L348" s="119"/>
      <c r="M348" s="119"/>
      <c r="N348" s="119"/>
      <c r="O348" s="119"/>
      <c r="P348" s="119"/>
      <c r="Q348" s="119"/>
      <c r="S348" s="27"/>
    </row>
    <row r="349" spans="1:19" ht="13.5" thickBot="1">
      <c r="A349" s="12"/>
      <c r="B349" s="33"/>
      <c r="C349" s="6"/>
      <c r="D349" s="152" t="s">
        <v>25</v>
      </c>
      <c r="E349" s="277">
        <f>IF($E$102="","",$E$102)</f>
      </c>
      <c r="F349" s="387">
        <f>IF($F$102="","",$F$102)</f>
      </c>
      <c r="G349" s="27"/>
      <c r="H349" s="156"/>
      <c r="I349" s="3"/>
      <c r="J349" s="3"/>
      <c r="K349" s="3"/>
      <c r="L349" s="3"/>
      <c r="M349" s="13"/>
      <c r="N349" s="13"/>
      <c r="O349" s="13"/>
      <c r="P349" s="13"/>
      <c r="Q349" s="13"/>
      <c r="R349" s="13"/>
      <c r="S349" s="27"/>
    </row>
    <row r="350" spans="1:19" ht="3.75" customHeight="1" thickBot="1">
      <c r="A350" s="12"/>
      <c r="B350" s="284"/>
      <c r="C350" s="284"/>
      <c r="D350" s="284"/>
      <c r="E350" s="284"/>
      <c r="F350" s="284"/>
      <c r="G350" s="1"/>
      <c r="H350" s="87"/>
      <c r="I350" s="87"/>
      <c r="J350" s="87"/>
      <c r="K350" s="87"/>
      <c r="L350" s="87"/>
      <c r="M350" s="87"/>
      <c r="N350" s="87"/>
      <c r="O350" s="87"/>
      <c r="P350" s="87"/>
      <c r="Q350" s="87"/>
      <c r="R350" s="87"/>
      <c r="S350" s="19"/>
    </row>
    <row r="351" spans="1:19" ht="16.5" thickBot="1">
      <c r="A351" s="12"/>
      <c r="B351" s="165" t="s">
        <v>26</v>
      </c>
      <c r="C351" s="168"/>
      <c r="D351" s="166"/>
      <c r="E351" s="166"/>
      <c r="F351" s="169"/>
      <c r="G351" s="271"/>
      <c r="H351" s="388" t="s">
        <v>27</v>
      </c>
      <c r="I351" s="389"/>
      <c r="J351" s="27"/>
      <c r="K351" s="657" t="s">
        <v>93</v>
      </c>
      <c r="L351" s="24"/>
      <c r="M351" s="24"/>
      <c r="N351" s="24"/>
      <c r="O351" s="244"/>
      <c r="P351" s="24"/>
      <c r="Q351" s="28"/>
      <c r="R351" s="28"/>
      <c r="S351" s="27"/>
    </row>
    <row r="352" spans="1:19" ht="16.5" thickBot="1">
      <c r="A352" s="12"/>
      <c r="B352" s="74"/>
      <c r="C352" s="75"/>
      <c r="D352" s="76"/>
      <c r="E352" s="76"/>
      <c r="F352" s="283" t="s">
        <v>31</v>
      </c>
      <c r="G352" s="272"/>
      <c r="H352" s="391">
        <f>IF(H105="","",H105)</f>
      </c>
      <c r="I352" s="392"/>
      <c r="J352" s="27"/>
      <c r="K352" s="119"/>
      <c r="L352" s="87"/>
      <c r="M352" s="87"/>
      <c r="N352" s="14"/>
      <c r="O352" s="85" t="s">
        <v>94</v>
      </c>
      <c r="P352" s="21"/>
      <c r="Q352" s="636">
        <f aca="true" t="shared" si="47" ref="Q352:Q371">IF(T105="","",T105)</f>
      </c>
      <c r="R352" s="629"/>
      <c r="S352" s="27"/>
    </row>
    <row r="353" spans="1:19" ht="13.5" customHeight="1" thickBot="1">
      <c r="A353" s="12"/>
      <c r="B353" s="363" t="s">
        <v>32</v>
      </c>
      <c r="C353" s="364"/>
      <c r="D353" s="364"/>
      <c r="E353" s="364"/>
      <c r="F353" s="366" t="s">
        <v>33</v>
      </c>
      <c r="G353" s="27"/>
      <c r="H353" s="395" t="s">
        <v>34</v>
      </c>
      <c r="I353" s="395" t="s">
        <v>35</v>
      </c>
      <c r="J353" s="27"/>
      <c r="K353" s="630"/>
      <c r="L353" s="631"/>
      <c r="M353" s="631"/>
      <c r="N353" s="17"/>
      <c r="O353" s="90" t="s">
        <v>95</v>
      </c>
      <c r="P353" s="18"/>
      <c r="Q353" s="637">
        <f t="shared" si="47"/>
      </c>
      <c r="R353" s="632"/>
      <c r="S353" s="27"/>
    </row>
    <row r="354" spans="1:19" ht="13.5" thickBot="1">
      <c r="A354" s="12"/>
      <c r="B354" s="350"/>
      <c r="C354" s="351"/>
      <c r="D354" s="352" t="s">
        <v>36</v>
      </c>
      <c r="E354" s="353"/>
      <c r="F354" s="158" t="s">
        <v>37</v>
      </c>
      <c r="G354" s="239"/>
      <c r="H354" s="397">
        <f>IF(H107="","",H107)</f>
      </c>
      <c r="I354" s="398" t="s">
        <v>38</v>
      </c>
      <c r="J354" s="293"/>
      <c r="K354" s="372"/>
      <c r="L354" s="284"/>
      <c r="M354" s="372"/>
      <c r="N354" s="284"/>
      <c r="O354" s="285" t="s">
        <v>96</v>
      </c>
      <c r="P354" s="486"/>
      <c r="Q354" s="490">
        <f t="shared" si="47"/>
        <v>0</v>
      </c>
      <c r="R354" s="490"/>
      <c r="S354" s="27"/>
    </row>
    <row r="355" spans="1:19" ht="13.5" customHeight="1" thickBot="1">
      <c r="A355" s="12"/>
      <c r="B355" s="354"/>
      <c r="C355" s="60"/>
      <c r="D355" s="355"/>
      <c r="E355" s="61"/>
      <c r="F355" s="159" t="s">
        <v>39</v>
      </c>
      <c r="G355" s="239"/>
      <c r="H355" s="400">
        <f>IF(H108="","",H108)</f>
      </c>
      <c r="I355" s="784">
        <f>IF(I108="","",I108)</f>
      </c>
      <c r="J355" s="293"/>
      <c r="K355" s="14"/>
      <c r="L355" s="23"/>
      <c r="M355" s="14"/>
      <c r="N355" s="23"/>
      <c r="O355" s="43" t="s">
        <v>97</v>
      </c>
      <c r="P355" s="21"/>
      <c r="Q355" s="491">
        <f t="shared" si="47"/>
        <v>0</v>
      </c>
      <c r="R355" s="491"/>
      <c r="S355" s="27"/>
    </row>
    <row r="356" spans="1:19" ht="13.5" customHeight="1" thickBot="1">
      <c r="A356" s="12"/>
      <c r="B356" s="350"/>
      <c r="C356" s="351"/>
      <c r="D356" s="352" t="s">
        <v>40</v>
      </c>
      <c r="E356" s="353"/>
      <c r="F356" s="158" t="s">
        <v>37</v>
      </c>
      <c r="G356" s="239"/>
      <c r="H356" s="397">
        <f>IF(H109="","",H109)</f>
      </c>
      <c r="I356" s="672">
        <f>IF(I109="","",I109)</f>
      </c>
      <c r="J356" s="293"/>
      <c r="K356" s="17"/>
      <c r="L356" s="26"/>
      <c r="M356" s="17"/>
      <c r="N356" s="26"/>
      <c r="O356" s="46" t="s">
        <v>98</v>
      </c>
      <c r="P356" s="18"/>
      <c r="Q356" s="492">
        <f t="shared" si="47"/>
        <v>0</v>
      </c>
      <c r="R356" s="492"/>
      <c r="S356" s="27"/>
    </row>
    <row r="357" spans="1:19" ht="13.5" thickBot="1">
      <c r="A357" s="12"/>
      <c r="B357" s="356"/>
      <c r="C357" s="151"/>
      <c r="D357" s="357"/>
      <c r="E357" s="353"/>
      <c r="F357" s="158" t="s">
        <v>39</v>
      </c>
      <c r="G357" s="239"/>
      <c r="H357" s="397">
        <f>IF(H110="","",H110)</f>
      </c>
      <c r="I357" s="672">
        <f>IF(I110="","",I110)</f>
      </c>
      <c r="J357" s="294"/>
      <c r="K357" s="14"/>
      <c r="L357" s="23"/>
      <c r="M357" s="14"/>
      <c r="N357" s="23"/>
      <c r="O357" s="43" t="s">
        <v>99</v>
      </c>
      <c r="P357" s="21"/>
      <c r="Q357" s="510">
        <f t="shared" si="47"/>
        <v>0</v>
      </c>
      <c r="R357" s="491"/>
      <c r="S357" s="27"/>
    </row>
    <row r="358" spans="1:19" ht="13.5" thickBot="1">
      <c r="A358" s="12"/>
      <c r="B358" s="165" t="s">
        <v>41</v>
      </c>
      <c r="C358" s="166"/>
      <c r="D358" s="166"/>
      <c r="E358" s="167"/>
      <c r="F358" s="169"/>
      <c r="G358" s="362"/>
      <c r="H358" s="401" t="s">
        <v>42</v>
      </c>
      <c r="I358" s="402" t="s">
        <v>43</v>
      </c>
      <c r="J358" s="101"/>
      <c r="K358" s="17"/>
      <c r="L358" s="26"/>
      <c r="M358" s="17"/>
      <c r="N358" s="26"/>
      <c r="O358" s="46" t="s">
        <v>100</v>
      </c>
      <c r="P358" s="18"/>
      <c r="Q358" s="514">
        <f t="shared" si="47"/>
        <v>0</v>
      </c>
      <c r="R358" s="492"/>
      <c r="S358" s="27"/>
    </row>
    <row r="359" spans="1:19" ht="12.75">
      <c r="A359" s="12"/>
      <c r="B359" s="33"/>
      <c r="C359" s="6"/>
      <c r="D359" s="45"/>
      <c r="E359" s="45"/>
      <c r="F359" s="152" t="s">
        <v>44</v>
      </c>
      <c r="G359" s="239"/>
      <c r="H359" s="261">
        <f aca="true" t="shared" si="48" ref="H359:I361">IF(H112="","",H112)</f>
      </c>
      <c r="I359" s="404">
        <f t="shared" si="48"/>
      </c>
      <c r="J359" s="101"/>
      <c r="K359" s="14"/>
      <c r="L359" s="23"/>
      <c r="M359" s="14"/>
      <c r="N359" s="14"/>
      <c r="O359" s="43" t="s">
        <v>101</v>
      </c>
      <c r="P359" s="21"/>
      <c r="Q359" s="515">
        <f t="shared" si="47"/>
        <v>0</v>
      </c>
      <c r="R359" s="491"/>
      <c r="S359" s="27"/>
    </row>
    <row r="360" spans="1:19" ht="12.75">
      <c r="A360" s="12"/>
      <c r="B360" s="33"/>
      <c r="C360" s="6"/>
      <c r="D360" s="49"/>
      <c r="E360" s="49"/>
      <c r="F360" s="96" t="s">
        <v>117</v>
      </c>
      <c r="G360" s="239"/>
      <c r="H360" s="672">
        <f t="shared" si="48"/>
      </c>
      <c r="I360" s="672">
        <f t="shared" si="48"/>
      </c>
      <c r="J360" s="101"/>
      <c r="K360" s="1"/>
      <c r="L360" s="6"/>
      <c r="M360" s="1"/>
      <c r="N360" s="1"/>
      <c r="O360" s="45" t="s">
        <v>536</v>
      </c>
      <c r="P360" s="19"/>
      <c r="Q360" s="516">
        <f t="shared" si="47"/>
        <v>0</v>
      </c>
      <c r="R360" s="493"/>
      <c r="S360" s="27"/>
    </row>
    <row r="361" spans="1:19" ht="13.5" thickBot="1">
      <c r="A361" s="94"/>
      <c r="B361" s="33"/>
      <c r="C361" s="26"/>
      <c r="D361" s="46"/>
      <c r="E361" s="46"/>
      <c r="F361" s="153" t="s">
        <v>46</v>
      </c>
      <c r="G361" s="239"/>
      <c r="H361" s="672">
        <f t="shared" si="48"/>
      </c>
      <c r="I361" s="672">
        <f t="shared" si="48"/>
      </c>
      <c r="J361" s="102"/>
      <c r="K361" s="17"/>
      <c r="L361" s="17"/>
      <c r="M361" s="17"/>
      <c r="N361" s="26"/>
      <c r="O361" s="90" t="s">
        <v>103</v>
      </c>
      <c r="P361" s="18"/>
      <c r="Q361" s="500">
        <f t="shared" si="47"/>
        <v>0</v>
      </c>
      <c r="R361" s="492"/>
      <c r="S361" s="27"/>
    </row>
    <row r="362" spans="1:19" ht="13.5" thickBot="1">
      <c r="A362" s="94"/>
      <c r="B362" s="363" t="s">
        <v>47</v>
      </c>
      <c r="C362" s="364"/>
      <c r="D362" s="364"/>
      <c r="E362" s="364"/>
      <c r="F362" s="365"/>
      <c r="G362" s="27"/>
      <c r="H362" s="401" t="s">
        <v>42</v>
      </c>
      <c r="I362" s="402" t="s">
        <v>43</v>
      </c>
      <c r="J362" s="101"/>
      <c r="K362" s="14"/>
      <c r="L362" s="23"/>
      <c r="M362" s="14"/>
      <c r="N362" s="23"/>
      <c r="O362" s="85" t="s">
        <v>104</v>
      </c>
      <c r="P362" s="21"/>
      <c r="Q362" s="511">
        <f t="shared" si="47"/>
        <v>0</v>
      </c>
      <c r="R362" s="494"/>
      <c r="S362" s="27"/>
    </row>
    <row r="363" spans="1:19" ht="12.75">
      <c r="A363" s="12"/>
      <c r="B363" s="56"/>
      <c r="C363" s="10"/>
      <c r="D363" s="10"/>
      <c r="E363" s="57"/>
      <c r="F363" s="154" t="s">
        <v>48</v>
      </c>
      <c r="G363" s="239"/>
      <c r="H363" s="261">
        <f aca="true" t="shared" si="49" ref="H363:I371">IF(H116="","",H116)</f>
      </c>
      <c r="I363" s="261">
        <f t="shared" si="49"/>
      </c>
      <c r="J363" s="101"/>
      <c r="K363" s="1"/>
      <c r="L363" s="6"/>
      <c r="M363" s="1"/>
      <c r="N363" s="6"/>
      <c r="O363" s="82" t="s">
        <v>105</v>
      </c>
      <c r="P363" s="19"/>
      <c r="Q363" s="512">
        <f t="shared" si="47"/>
        <v>0</v>
      </c>
      <c r="R363" s="495"/>
      <c r="S363" s="27"/>
    </row>
    <row r="364" spans="1:19" ht="12.75">
      <c r="A364" s="12"/>
      <c r="B364" s="33"/>
      <c r="C364" s="6"/>
      <c r="D364" s="6"/>
      <c r="E364" s="45"/>
      <c r="F364" s="152" t="s">
        <v>49</v>
      </c>
      <c r="G364" s="239"/>
      <c r="H364" s="405">
        <f t="shared" si="49"/>
      </c>
      <c r="I364" s="261">
        <f t="shared" si="49"/>
      </c>
      <c r="J364" s="101"/>
      <c r="K364" s="1"/>
      <c r="L364" s="6"/>
      <c r="M364" s="1"/>
      <c r="N364" s="6"/>
      <c r="O364" s="82" t="s">
        <v>106</v>
      </c>
      <c r="P364" s="19"/>
      <c r="Q364" s="512">
        <f t="shared" si="47"/>
        <v>0</v>
      </c>
      <c r="R364" s="496"/>
      <c r="S364" s="27"/>
    </row>
    <row r="365" spans="1:19" ht="13.5" thickBot="1">
      <c r="A365" s="12"/>
      <c r="B365" s="47"/>
      <c r="C365" s="10"/>
      <c r="D365" s="10"/>
      <c r="E365" s="48"/>
      <c r="F365" s="154" t="s">
        <v>50</v>
      </c>
      <c r="G365" s="239"/>
      <c r="H365" s="405">
        <f t="shared" si="49"/>
      </c>
      <c r="I365" s="261">
        <f t="shared" si="49"/>
      </c>
      <c r="J365" s="101"/>
      <c r="K365" s="17"/>
      <c r="L365" s="26"/>
      <c r="M365" s="17"/>
      <c r="N365" s="26"/>
      <c r="O365" s="90" t="s">
        <v>107</v>
      </c>
      <c r="P365" s="18"/>
      <c r="Q365" s="518">
        <f t="shared" si="47"/>
        <v>0</v>
      </c>
      <c r="R365" s="497"/>
      <c r="S365" s="27"/>
    </row>
    <row r="366" spans="1:19" ht="12.75">
      <c r="A366" s="12"/>
      <c r="B366" s="33"/>
      <c r="C366" s="6"/>
      <c r="D366" s="6"/>
      <c r="E366" s="45"/>
      <c r="F366" s="152" t="s">
        <v>51</v>
      </c>
      <c r="G366" s="239"/>
      <c r="H366" s="405">
        <f t="shared" si="49"/>
      </c>
      <c r="I366" s="261">
        <f t="shared" si="49"/>
      </c>
      <c r="J366" s="101"/>
      <c r="K366" s="14"/>
      <c r="L366" s="14"/>
      <c r="M366" s="14"/>
      <c r="N366" s="14"/>
      <c r="O366" s="43" t="s">
        <v>108</v>
      </c>
      <c r="P366" s="21"/>
      <c r="Q366" s="517">
        <f t="shared" si="47"/>
        <v>0</v>
      </c>
      <c r="R366" s="494"/>
      <c r="S366" s="27"/>
    </row>
    <row r="367" spans="1:19" ht="12.75" customHeight="1">
      <c r="A367" s="12"/>
      <c r="B367" s="47"/>
      <c r="C367" s="10"/>
      <c r="D367" s="10"/>
      <c r="E367" s="48"/>
      <c r="F367" s="154" t="s">
        <v>52</v>
      </c>
      <c r="G367" s="239"/>
      <c r="H367" s="405">
        <f t="shared" si="49"/>
      </c>
      <c r="I367" s="261">
        <f t="shared" si="49"/>
      </c>
      <c r="J367" s="101"/>
      <c r="K367" s="1"/>
      <c r="L367" s="6"/>
      <c r="M367" s="1"/>
      <c r="N367" s="1"/>
      <c r="O367" s="45" t="s">
        <v>109</v>
      </c>
      <c r="P367" s="19"/>
      <c r="Q367" s="513">
        <f t="shared" si="47"/>
        <v>0</v>
      </c>
      <c r="R367" s="498"/>
      <c r="S367" s="27"/>
    </row>
    <row r="368" spans="1:19" ht="12.75">
      <c r="A368" s="12"/>
      <c r="B368" s="33"/>
      <c r="C368" s="6"/>
      <c r="D368" s="6"/>
      <c r="E368" s="45"/>
      <c r="F368" s="152" t="s">
        <v>53</v>
      </c>
      <c r="G368" s="239"/>
      <c r="H368" s="405">
        <f t="shared" si="49"/>
      </c>
      <c r="I368" s="261">
        <f t="shared" si="49"/>
      </c>
      <c r="J368" s="101"/>
      <c r="K368" s="1"/>
      <c r="L368" s="6"/>
      <c r="M368" s="1"/>
      <c r="N368" s="1"/>
      <c r="O368" s="82" t="s">
        <v>110</v>
      </c>
      <c r="P368" s="19"/>
      <c r="Q368" s="516">
        <f t="shared" si="47"/>
        <v>0</v>
      </c>
      <c r="R368" s="499"/>
      <c r="S368" s="27"/>
    </row>
    <row r="369" spans="1:19" ht="13.5" customHeight="1" thickBot="1">
      <c r="A369" s="12"/>
      <c r="B369" s="47"/>
      <c r="C369" s="10"/>
      <c r="D369" s="10"/>
      <c r="E369" s="48"/>
      <c r="F369" s="154" t="s">
        <v>54</v>
      </c>
      <c r="G369" s="239">
        <v>2</v>
      </c>
      <c r="H369" s="405">
        <f t="shared" si="49"/>
      </c>
      <c r="I369" s="261">
        <f t="shared" si="49"/>
      </c>
      <c r="J369" s="101"/>
      <c r="K369" s="17"/>
      <c r="L369" s="17"/>
      <c r="M369" s="17"/>
      <c r="N369" s="26"/>
      <c r="O369" s="90" t="s">
        <v>111</v>
      </c>
      <c r="P369" s="18"/>
      <c r="Q369" s="500">
        <f t="shared" si="47"/>
        <v>0</v>
      </c>
      <c r="R369" s="500"/>
      <c r="S369" s="27"/>
    </row>
    <row r="370" spans="1:19" ht="12.75">
      <c r="A370" s="12"/>
      <c r="B370" s="33"/>
      <c r="C370" s="6"/>
      <c r="D370" s="6"/>
      <c r="E370" s="45"/>
      <c r="F370" s="152" t="s">
        <v>55</v>
      </c>
      <c r="G370" s="239">
        <v>2</v>
      </c>
      <c r="H370" s="405">
        <f t="shared" si="49"/>
      </c>
      <c r="I370" s="261">
        <f t="shared" si="49"/>
      </c>
      <c r="J370" s="101"/>
      <c r="K370" s="14"/>
      <c r="L370" s="14"/>
      <c r="M370" s="14"/>
      <c r="N370" s="23"/>
      <c r="O370" s="85" t="s">
        <v>112</v>
      </c>
      <c r="P370" s="21"/>
      <c r="Q370" s="501">
        <f t="shared" si="47"/>
        <v>0</v>
      </c>
      <c r="R370" s="501"/>
      <c r="S370" s="27"/>
    </row>
    <row r="371" spans="1:19" ht="13.5" thickBot="1">
      <c r="A371" s="12"/>
      <c r="B371" s="33"/>
      <c r="C371" s="6"/>
      <c r="D371" s="6"/>
      <c r="E371" s="45"/>
      <c r="F371" s="152" t="s">
        <v>56</v>
      </c>
      <c r="G371" s="239"/>
      <c r="H371" s="405">
        <f t="shared" si="49"/>
      </c>
      <c r="I371" s="261">
        <f t="shared" si="49"/>
      </c>
      <c r="J371" s="101"/>
      <c r="K371" s="17"/>
      <c r="L371" s="17"/>
      <c r="M371" s="17"/>
      <c r="N371" s="26"/>
      <c r="O371" s="90" t="s">
        <v>113</v>
      </c>
      <c r="P371" s="18"/>
      <c r="Q371" s="502">
        <f t="shared" si="47"/>
        <v>0</v>
      </c>
      <c r="R371" s="502"/>
      <c r="S371" s="27"/>
    </row>
    <row r="372" spans="1:19" ht="3.75" customHeight="1" thickBot="1">
      <c r="A372" s="12"/>
      <c r="B372" s="284"/>
      <c r="C372" s="284"/>
      <c r="D372" s="284"/>
      <c r="E372" s="285"/>
      <c r="F372" s="285"/>
      <c r="G372" s="6"/>
      <c r="H372" s="278"/>
      <c r="I372" s="279"/>
      <c r="J372" s="95"/>
      <c r="K372" s="1"/>
      <c r="L372" s="1"/>
      <c r="M372" s="1"/>
      <c r="N372" s="1"/>
      <c r="O372" s="1"/>
      <c r="P372" s="1"/>
      <c r="Q372" s="1"/>
      <c r="R372" s="1"/>
      <c r="S372" s="19"/>
    </row>
    <row r="373" spans="1:19" ht="13.5" thickBot="1">
      <c r="A373" s="12"/>
      <c r="B373" s="165" t="s">
        <v>57</v>
      </c>
      <c r="C373" s="166"/>
      <c r="D373" s="166"/>
      <c r="E373" s="186"/>
      <c r="F373" s="187"/>
      <c r="G373" s="6"/>
      <c r="H373" s="288" t="s">
        <v>13</v>
      </c>
      <c r="I373" s="59" t="s">
        <v>14</v>
      </c>
      <c r="J373" s="656"/>
      <c r="S373" s="19"/>
    </row>
    <row r="374" spans="1:19" ht="12.75">
      <c r="A374" s="12"/>
      <c r="B374" s="160"/>
      <c r="C374" s="6"/>
      <c r="D374" s="6"/>
      <c r="E374" s="45"/>
      <c r="F374" s="152" t="s">
        <v>118</v>
      </c>
      <c r="G374" s="239"/>
      <c r="H374" s="277">
        <f>IF($H$127="","",$H$127)</f>
        <v>0</v>
      </c>
      <c r="I374" s="277">
        <f>IF($I$127="","",$I$127)</f>
        <v>0</v>
      </c>
      <c r="J374" s="656"/>
      <c r="S374" s="19"/>
    </row>
    <row r="375" spans="1:19" ht="13.5" customHeight="1" thickBot="1">
      <c r="A375" s="12"/>
      <c r="B375" s="33"/>
      <c r="C375" s="6"/>
      <c r="D375" s="6"/>
      <c r="E375" s="45"/>
      <c r="F375" s="45" t="s">
        <v>59</v>
      </c>
      <c r="G375" s="239"/>
      <c r="H375" s="658">
        <f>IF($H$128="","",$H$128)</f>
        <v>0</v>
      </c>
      <c r="I375" s="658">
        <f>IF($I$128="","",$I$128)</f>
        <v>0</v>
      </c>
      <c r="J375" s="121"/>
      <c r="S375" s="19"/>
    </row>
    <row r="376" spans="1:19" ht="24" customHeight="1" thickBot="1">
      <c r="A376" s="12"/>
      <c r="B376" s="14"/>
      <c r="C376" s="14"/>
      <c r="D376" s="14"/>
      <c r="E376" s="14"/>
      <c r="F376" s="14"/>
      <c r="G376" s="1"/>
      <c r="H376" s="14"/>
      <c r="I376" s="14"/>
      <c r="J376" s="1"/>
      <c r="K376" s="1"/>
      <c r="L376" s="1"/>
      <c r="M376" s="1"/>
      <c r="N376" s="1"/>
      <c r="O376" s="1"/>
      <c r="P376" s="1"/>
      <c r="Q376" s="1"/>
      <c r="R376" s="1"/>
      <c r="S376" s="19"/>
    </row>
    <row r="377" spans="1:19" ht="12.75" customHeight="1" thickBot="1">
      <c r="A377" s="12"/>
      <c r="B377" s="198" t="s">
        <v>152</v>
      </c>
      <c r="C377" s="299">
        <f>IF($C$130="","",$C$130)</f>
      </c>
      <c r="D377" s="298"/>
      <c r="E377" s="297" t="s">
        <v>61</v>
      </c>
      <c r="F377" s="299">
        <f>IF($F$130="","",$F$130)</f>
        <v>0</v>
      </c>
      <c r="G377" s="27"/>
      <c r="H377" s="684" t="s">
        <v>121</v>
      </c>
      <c r="I377" s="684" t="s">
        <v>122</v>
      </c>
      <c r="J377" s="102"/>
      <c r="K377" s="684" t="s">
        <v>124</v>
      </c>
      <c r="L377" s="99" t="s">
        <v>124</v>
      </c>
      <c r="M377" s="102"/>
      <c r="N377" s="684" t="s">
        <v>145</v>
      </c>
      <c r="O377" s="684" t="s">
        <v>131</v>
      </c>
      <c r="P377" s="102"/>
      <c r="Q377" s="684" t="s">
        <v>146</v>
      </c>
      <c r="R377" s="684" t="s">
        <v>126</v>
      </c>
      <c r="S377" s="27"/>
    </row>
    <row r="378" spans="1:19" ht="12.75" customHeight="1">
      <c r="A378" s="12"/>
      <c r="B378" s="98" t="s">
        <v>63</v>
      </c>
      <c r="C378" s="98" t="s">
        <v>66</v>
      </c>
      <c r="D378" s="99" t="s">
        <v>129</v>
      </c>
      <c r="E378" s="99" t="s">
        <v>123</v>
      </c>
      <c r="F378" s="99" t="s">
        <v>123</v>
      </c>
      <c r="G378" s="27"/>
      <c r="H378" s="685" t="s">
        <v>134</v>
      </c>
      <c r="I378" s="685" t="s">
        <v>131</v>
      </c>
      <c r="J378" s="102"/>
      <c r="K378" s="685" t="s">
        <v>121</v>
      </c>
      <c r="L378" s="685" t="s">
        <v>35</v>
      </c>
      <c r="M378" s="102"/>
      <c r="N378" s="685" t="s">
        <v>148</v>
      </c>
      <c r="O378" s="685" t="s">
        <v>148</v>
      </c>
      <c r="P378" s="102"/>
      <c r="Q378" s="685" t="s">
        <v>148</v>
      </c>
      <c r="R378" s="685" t="s">
        <v>132</v>
      </c>
      <c r="S378" s="27"/>
    </row>
    <row r="379" spans="1:19" ht="12.75" customHeight="1">
      <c r="A379" s="12"/>
      <c r="B379" s="100"/>
      <c r="C379" s="101"/>
      <c r="D379" s="102" t="s">
        <v>133</v>
      </c>
      <c r="E379" s="102" t="s">
        <v>145</v>
      </c>
      <c r="F379" s="102" t="s">
        <v>131</v>
      </c>
      <c r="G379" s="27"/>
      <c r="H379" s="685"/>
      <c r="I379" s="685"/>
      <c r="J379" s="102"/>
      <c r="K379" s="685" t="s">
        <v>131</v>
      </c>
      <c r="L379" s="685" t="s">
        <v>131</v>
      </c>
      <c r="M379" s="102"/>
      <c r="N379" s="685"/>
      <c r="O379" s="685"/>
      <c r="P379" s="102"/>
      <c r="Q379" s="685"/>
      <c r="R379" s="685" t="s">
        <v>133</v>
      </c>
      <c r="S379" s="27"/>
    </row>
    <row r="380" spans="1:19" s="678" customFormat="1" ht="12.75" customHeight="1" thickBot="1">
      <c r="A380" s="674"/>
      <c r="B380" s="675" t="s">
        <v>67</v>
      </c>
      <c r="C380" s="676" t="s">
        <v>68</v>
      </c>
      <c r="D380" s="675" t="s">
        <v>68</v>
      </c>
      <c r="E380" s="675" t="s">
        <v>68</v>
      </c>
      <c r="F380" s="675" t="s">
        <v>68</v>
      </c>
      <c r="G380" s="682"/>
      <c r="H380" s="686" t="s">
        <v>135</v>
      </c>
      <c r="I380" s="686" t="s">
        <v>137</v>
      </c>
      <c r="J380" s="681"/>
      <c r="K380" s="686" t="s">
        <v>137</v>
      </c>
      <c r="L380" s="693" t="s">
        <v>137</v>
      </c>
      <c r="M380" s="681"/>
      <c r="N380" s="686" t="s">
        <v>149</v>
      </c>
      <c r="O380" s="686" t="s">
        <v>149</v>
      </c>
      <c r="P380" s="681"/>
      <c r="Q380" s="686" t="s">
        <v>149</v>
      </c>
      <c r="R380" s="686" t="s">
        <v>138</v>
      </c>
      <c r="S380" s="682"/>
    </row>
    <row r="381" spans="1:19" s="1" customFormat="1" ht="12.75">
      <c r="A381" s="12"/>
      <c r="B381" s="103">
        <f>IF(B134="","",B134)</f>
        <v>0</v>
      </c>
      <c r="C381" s="164">
        <f aca="true" t="shared" si="50" ref="C381:C404">C134</f>
        <v>0</v>
      </c>
      <c r="D381" s="104">
        <f aca="true" t="shared" si="51" ref="D381:D404">F134</f>
        <v>0</v>
      </c>
      <c r="E381" s="105">
        <f aca="true" t="shared" si="52" ref="E381:E404">K166</f>
        <v>0</v>
      </c>
      <c r="F381" s="106">
        <f aca="true" t="shared" si="53" ref="F381:F404">L134</f>
        <v>0</v>
      </c>
      <c r="G381" s="27"/>
      <c r="H381" s="695">
        <f aca="true" t="shared" si="54" ref="H381:H404">H134</f>
        <v>0</v>
      </c>
      <c r="I381" s="696">
        <f aca="true" t="shared" si="55" ref="I381:I404">K134</f>
        <v>0</v>
      </c>
      <c r="J381" s="226"/>
      <c r="K381" s="694">
        <f aca="true" t="shared" si="56" ref="K381:K404">N134</f>
        <v>0</v>
      </c>
      <c r="L381" s="694">
        <f aca="true" t="shared" si="57" ref="L381:L404">O134</f>
        <v>0</v>
      </c>
      <c r="M381" s="226"/>
      <c r="N381" s="688">
        <f aca="true" t="shared" si="58" ref="N381:N404">R166</f>
        <v>0</v>
      </c>
      <c r="O381" s="688">
        <f aca="true" t="shared" si="59" ref="O381:O404">T166</f>
        <v>0</v>
      </c>
      <c r="P381" s="226"/>
      <c r="Q381" s="688">
        <f aca="true" t="shared" si="60" ref="Q381:Q404">U166</f>
        <v>0</v>
      </c>
      <c r="R381" s="687">
        <f aca="true" t="shared" si="61" ref="R381:R407">U134</f>
        <v>0</v>
      </c>
      <c r="S381" s="27"/>
    </row>
    <row r="382" spans="1:19" ht="12.75">
      <c r="A382" s="12"/>
      <c r="B382" s="103" t="str">
        <f aca="true" t="shared" si="62" ref="B382:B404">IF(B135="","",B135)</f>
        <v>1 A</v>
      </c>
      <c r="C382" s="164">
        <f t="shared" si="50"/>
        <v>0</v>
      </c>
      <c r="D382" s="104">
        <f t="shared" si="51"/>
        <v>0</v>
      </c>
      <c r="E382" s="105">
        <f t="shared" si="52"/>
        <v>0</v>
      </c>
      <c r="F382" s="106">
        <f t="shared" si="53"/>
        <v>0</v>
      </c>
      <c r="G382" s="27"/>
      <c r="H382" s="695">
        <f t="shared" si="54"/>
        <v>0</v>
      </c>
      <c r="I382" s="696">
        <f t="shared" si="55"/>
        <v>0</v>
      </c>
      <c r="J382" s="226"/>
      <c r="K382" s="694">
        <f t="shared" si="56"/>
        <v>0</v>
      </c>
      <c r="L382" s="694">
        <f t="shared" si="57"/>
        <v>0</v>
      </c>
      <c r="M382" s="226"/>
      <c r="N382" s="688">
        <f t="shared" si="58"/>
        <v>0</v>
      </c>
      <c r="O382" s="688">
        <f t="shared" si="59"/>
        <v>0</v>
      </c>
      <c r="P382" s="226"/>
      <c r="Q382" s="688">
        <f t="shared" si="60"/>
        <v>0</v>
      </c>
      <c r="R382" s="687">
        <f t="shared" si="61"/>
        <v>0</v>
      </c>
      <c r="S382" s="27"/>
    </row>
    <row r="383" spans="1:19" ht="12.75">
      <c r="A383" s="12"/>
      <c r="B383" s="103" t="str">
        <f t="shared" si="62"/>
        <v>2 A</v>
      </c>
      <c r="C383" s="164">
        <f t="shared" si="50"/>
        <v>0</v>
      </c>
      <c r="D383" s="104">
        <f t="shared" si="51"/>
        <v>0</v>
      </c>
      <c r="E383" s="105">
        <f t="shared" si="52"/>
        <v>0</v>
      </c>
      <c r="F383" s="106">
        <f t="shared" si="53"/>
        <v>0</v>
      </c>
      <c r="G383" s="27"/>
      <c r="H383" s="695">
        <f t="shared" si="54"/>
        <v>0</v>
      </c>
      <c r="I383" s="696">
        <f t="shared" si="55"/>
        <v>0</v>
      </c>
      <c r="J383" s="226"/>
      <c r="K383" s="694">
        <f t="shared" si="56"/>
        <v>0</v>
      </c>
      <c r="L383" s="694">
        <f t="shared" si="57"/>
        <v>0</v>
      </c>
      <c r="M383" s="226"/>
      <c r="N383" s="688">
        <f t="shared" si="58"/>
        <v>0</v>
      </c>
      <c r="O383" s="688">
        <f t="shared" si="59"/>
        <v>0</v>
      </c>
      <c r="P383" s="226"/>
      <c r="Q383" s="688">
        <f t="shared" si="60"/>
        <v>0</v>
      </c>
      <c r="R383" s="687">
        <f t="shared" si="61"/>
        <v>0</v>
      </c>
      <c r="S383" s="27"/>
    </row>
    <row r="384" spans="1:19" ht="12.75">
      <c r="A384" s="12"/>
      <c r="B384" s="103" t="str">
        <f t="shared" si="62"/>
        <v>3 A</v>
      </c>
      <c r="C384" s="164">
        <f t="shared" si="50"/>
        <v>0</v>
      </c>
      <c r="D384" s="104">
        <f t="shared" si="51"/>
        <v>0</v>
      </c>
      <c r="E384" s="105">
        <f t="shared" si="52"/>
        <v>0</v>
      </c>
      <c r="F384" s="106">
        <f t="shared" si="53"/>
        <v>0</v>
      </c>
      <c r="G384" s="27"/>
      <c r="H384" s="695">
        <f t="shared" si="54"/>
        <v>0</v>
      </c>
      <c r="I384" s="696">
        <f t="shared" si="55"/>
        <v>0</v>
      </c>
      <c r="J384" s="226"/>
      <c r="K384" s="694">
        <f t="shared" si="56"/>
        <v>0</v>
      </c>
      <c r="L384" s="694">
        <f t="shared" si="57"/>
        <v>0</v>
      </c>
      <c r="M384" s="226"/>
      <c r="N384" s="688">
        <f t="shared" si="58"/>
        <v>0</v>
      </c>
      <c r="O384" s="688">
        <f t="shared" si="59"/>
        <v>0</v>
      </c>
      <c r="P384" s="226"/>
      <c r="Q384" s="688">
        <f t="shared" si="60"/>
        <v>0</v>
      </c>
      <c r="R384" s="687">
        <f t="shared" si="61"/>
        <v>0</v>
      </c>
      <c r="S384" s="27"/>
    </row>
    <row r="385" spans="1:19" ht="12.75">
      <c r="A385" s="12"/>
      <c r="B385" s="103" t="str">
        <f t="shared" si="62"/>
        <v>4 A</v>
      </c>
      <c r="C385" s="164">
        <f t="shared" si="50"/>
        <v>0</v>
      </c>
      <c r="D385" s="104">
        <f t="shared" si="51"/>
        <v>0</v>
      </c>
      <c r="E385" s="105">
        <f t="shared" si="52"/>
        <v>0</v>
      </c>
      <c r="F385" s="106">
        <f t="shared" si="53"/>
        <v>0</v>
      </c>
      <c r="G385" s="27"/>
      <c r="H385" s="695">
        <f t="shared" si="54"/>
        <v>0</v>
      </c>
      <c r="I385" s="696">
        <f t="shared" si="55"/>
        <v>0</v>
      </c>
      <c r="J385" s="226"/>
      <c r="K385" s="694">
        <f t="shared" si="56"/>
        <v>0</v>
      </c>
      <c r="L385" s="694">
        <f t="shared" si="57"/>
        <v>0</v>
      </c>
      <c r="M385" s="226"/>
      <c r="N385" s="688">
        <f t="shared" si="58"/>
        <v>0</v>
      </c>
      <c r="O385" s="688">
        <f t="shared" si="59"/>
        <v>0</v>
      </c>
      <c r="P385" s="226"/>
      <c r="Q385" s="688">
        <f t="shared" si="60"/>
        <v>0</v>
      </c>
      <c r="R385" s="687">
        <f t="shared" si="61"/>
        <v>0</v>
      </c>
      <c r="S385" s="27"/>
    </row>
    <row r="386" spans="1:19" ht="12.75">
      <c r="A386" s="12"/>
      <c r="B386" s="103" t="str">
        <f t="shared" si="62"/>
        <v>5 A</v>
      </c>
      <c r="C386" s="164">
        <f t="shared" si="50"/>
        <v>0</v>
      </c>
      <c r="D386" s="104">
        <f t="shared" si="51"/>
        <v>0</v>
      </c>
      <c r="E386" s="105">
        <f t="shared" si="52"/>
        <v>0</v>
      </c>
      <c r="F386" s="106">
        <f t="shared" si="53"/>
        <v>0</v>
      </c>
      <c r="G386" s="27"/>
      <c r="H386" s="695">
        <f t="shared" si="54"/>
        <v>0</v>
      </c>
      <c r="I386" s="696">
        <f t="shared" si="55"/>
        <v>0</v>
      </c>
      <c r="J386" s="226"/>
      <c r="K386" s="694">
        <f t="shared" si="56"/>
        <v>0</v>
      </c>
      <c r="L386" s="694">
        <f t="shared" si="57"/>
        <v>0</v>
      </c>
      <c r="M386" s="226"/>
      <c r="N386" s="688">
        <f t="shared" si="58"/>
        <v>0</v>
      </c>
      <c r="O386" s="688">
        <f t="shared" si="59"/>
        <v>0</v>
      </c>
      <c r="P386" s="226"/>
      <c r="Q386" s="688">
        <f t="shared" si="60"/>
        <v>0</v>
      </c>
      <c r="R386" s="687">
        <f t="shared" si="61"/>
        <v>0</v>
      </c>
      <c r="S386" s="27"/>
    </row>
    <row r="387" spans="1:19" ht="12.75">
      <c r="A387" s="12"/>
      <c r="B387" s="103" t="str">
        <f t="shared" si="62"/>
        <v>6 A</v>
      </c>
      <c r="C387" s="164">
        <f t="shared" si="50"/>
        <v>0</v>
      </c>
      <c r="D387" s="104">
        <f t="shared" si="51"/>
        <v>0</v>
      </c>
      <c r="E387" s="105">
        <f t="shared" si="52"/>
        <v>0</v>
      </c>
      <c r="F387" s="106">
        <f t="shared" si="53"/>
        <v>0</v>
      </c>
      <c r="G387" s="27"/>
      <c r="H387" s="695">
        <f t="shared" si="54"/>
        <v>0</v>
      </c>
      <c r="I387" s="696">
        <f t="shared" si="55"/>
        <v>0</v>
      </c>
      <c r="J387" s="226"/>
      <c r="K387" s="694">
        <f t="shared" si="56"/>
        <v>0</v>
      </c>
      <c r="L387" s="694">
        <f t="shared" si="57"/>
        <v>0</v>
      </c>
      <c r="M387" s="226"/>
      <c r="N387" s="688">
        <f t="shared" si="58"/>
        <v>0</v>
      </c>
      <c r="O387" s="688">
        <f t="shared" si="59"/>
        <v>0</v>
      </c>
      <c r="P387" s="226"/>
      <c r="Q387" s="688">
        <f t="shared" si="60"/>
        <v>0</v>
      </c>
      <c r="R387" s="687">
        <f t="shared" si="61"/>
        <v>0</v>
      </c>
      <c r="S387" s="27"/>
    </row>
    <row r="388" spans="1:19" ht="12.75">
      <c r="A388" s="12"/>
      <c r="B388" s="103" t="str">
        <f t="shared" si="62"/>
        <v>7 A</v>
      </c>
      <c r="C388" s="164">
        <f t="shared" si="50"/>
        <v>0</v>
      </c>
      <c r="D388" s="104">
        <f t="shared" si="51"/>
        <v>0</v>
      </c>
      <c r="E388" s="105">
        <f t="shared" si="52"/>
        <v>0</v>
      </c>
      <c r="F388" s="106">
        <f t="shared" si="53"/>
        <v>0</v>
      </c>
      <c r="G388" s="27"/>
      <c r="H388" s="695">
        <f t="shared" si="54"/>
        <v>0</v>
      </c>
      <c r="I388" s="696">
        <f t="shared" si="55"/>
        <v>0</v>
      </c>
      <c r="J388" s="226"/>
      <c r="K388" s="694">
        <f t="shared" si="56"/>
        <v>0</v>
      </c>
      <c r="L388" s="694">
        <f t="shared" si="57"/>
        <v>0</v>
      </c>
      <c r="M388" s="226"/>
      <c r="N388" s="688">
        <f t="shared" si="58"/>
        <v>0</v>
      </c>
      <c r="O388" s="688">
        <f t="shared" si="59"/>
        <v>0</v>
      </c>
      <c r="P388" s="226"/>
      <c r="Q388" s="688">
        <f t="shared" si="60"/>
        <v>0</v>
      </c>
      <c r="R388" s="687">
        <f t="shared" si="61"/>
        <v>0</v>
      </c>
      <c r="S388" s="27"/>
    </row>
    <row r="389" spans="1:19" ht="12.75">
      <c r="A389" s="12"/>
      <c r="B389" s="103" t="str">
        <f t="shared" si="62"/>
        <v>8 A</v>
      </c>
      <c r="C389" s="164">
        <f t="shared" si="50"/>
        <v>0</v>
      </c>
      <c r="D389" s="104">
        <f t="shared" si="51"/>
        <v>0</v>
      </c>
      <c r="E389" s="105">
        <f t="shared" si="52"/>
        <v>0</v>
      </c>
      <c r="F389" s="106">
        <f t="shared" si="53"/>
        <v>0</v>
      </c>
      <c r="G389" s="27"/>
      <c r="H389" s="695">
        <f t="shared" si="54"/>
        <v>0</v>
      </c>
      <c r="I389" s="696">
        <f t="shared" si="55"/>
        <v>0</v>
      </c>
      <c r="J389" s="226"/>
      <c r="K389" s="694">
        <f t="shared" si="56"/>
        <v>0</v>
      </c>
      <c r="L389" s="694">
        <f t="shared" si="57"/>
        <v>0</v>
      </c>
      <c r="M389" s="226"/>
      <c r="N389" s="688">
        <f t="shared" si="58"/>
        <v>0</v>
      </c>
      <c r="O389" s="688">
        <f t="shared" si="59"/>
        <v>0</v>
      </c>
      <c r="P389" s="226"/>
      <c r="Q389" s="688">
        <f t="shared" si="60"/>
        <v>0</v>
      </c>
      <c r="R389" s="687">
        <f t="shared" si="61"/>
        <v>0</v>
      </c>
      <c r="S389" s="27"/>
    </row>
    <row r="390" spans="1:19" ht="12.75">
      <c r="A390" s="12"/>
      <c r="B390" s="103" t="str">
        <f t="shared" si="62"/>
        <v>9 A</v>
      </c>
      <c r="C390" s="164">
        <f t="shared" si="50"/>
        <v>0</v>
      </c>
      <c r="D390" s="104">
        <f t="shared" si="51"/>
        <v>0</v>
      </c>
      <c r="E390" s="105">
        <f t="shared" si="52"/>
        <v>0</v>
      </c>
      <c r="F390" s="106">
        <f t="shared" si="53"/>
        <v>0</v>
      </c>
      <c r="G390" s="27"/>
      <c r="H390" s="695">
        <f t="shared" si="54"/>
        <v>0</v>
      </c>
      <c r="I390" s="696">
        <f t="shared" si="55"/>
        <v>0</v>
      </c>
      <c r="J390" s="226"/>
      <c r="K390" s="694">
        <f t="shared" si="56"/>
        <v>0</v>
      </c>
      <c r="L390" s="694">
        <f t="shared" si="57"/>
        <v>0</v>
      </c>
      <c r="M390" s="226"/>
      <c r="N390" s="688">
        <f t="shared" si="58"/>
        <v>0</v>
      </c>
      <c r="O390" s="688">
        <f t="shared" si="59"/>
        <v>0</v>
      </c>
      <c r="P390" s="226"/>
      <c r="Q390" s="688">
        <f t="shared" si="60"/>
        <v>0</v>
      </c>
      <c r="R390" s="687">
        <f t="shared" si="61"/>
        <v>0</v>
      </c>
      <c r="S390" s="27"/>
    </row>
    <row r="391" spans="1:19" ht="12.75">
      <c r="A391" s="12"/>
      <c r="B391" s="103" t="str">
        <f t="shared" si="62"/>
        <v>10 A</v>
      </c>
      <c r="C391" s="164">
        <f t="shared" si="50"/>
        <v>0</v>
      </c>
      <c r="D391" s="104">
        <f t="shared" si="51"/>
        <v>0</v>
      </c>
      <c r="E391" s="105">
        <f t="shared" si="52"/>
        <v>0</v>
      </c>
      <c r="F391" s="106">
        <f t="shared" si="53"/>
        <v>0</v>
      </c>
      <c r="G391" s="27"/>
      <c r="H391" s="695">
        <f t="shared" si="54"/>
        <v>0</v>
      </c>
      <c r="I391" s="696">
        <f t="shared" si="55"/>
        <v>0</v>
      </c>
      <c r="J391" s="226"/>
      <c r="K391" s="694">
        <f t="shared" si="56"/>
        <v>0</v>
      </c>
      <c r="L391" s="694">
        <f t="shared" si="57"/>
        <v>0</v>
      </c>
      <c r="M391" s="226"/>
      <c r="N391" s="688">
        <f t="shared" si="58"/>
        <v>0</v>
      </c>
      <c r="O391" s="688">
        <f t="shared" si="59"/>
        <v>0</v>
      </c>
      <c r="P391" s="226"/>
      <c r="Q391" s="688">
        <f t="shared" si="60"/>
        <v>0</v>
      </c>
      <c r="R391" s="687">
        <f t="shared" si="61"/>
        <v>0</v>
      </c>
      <c r="S391" s="27"/>
    </row>
    <row r="392" spans="1:19" ht="12.75">
      <c r="A392" s="12"/>
      <c r="B392" s="103" t="str">
        <f t="shared" si="62"/>
        <v>11 A</v>
      </c>
      <c r="C392" s="164">
        <f t="shared" si="50"/>
        <v>0</v>
      </c>
      <c r="D392" s="104">
        <f t="shared" si="51"/>
        <v>0</v>
      </c>
      <c r="E392" s="105">
        <f t="shared" si="52"/>
        <v>0</v>
      </c>
      <c r="F392" s="106">
        <f t="shared" si="53"/>
        <v>0</v>
      </c>
      <c r="G392" s="27"/>
      <c r="H392" s="695">
        <f t="shared" si="54"/>
        <v>0</v>
      </c>
      <c r="I392" s="696">
        <f t="shared" si="55"/>
        <v>0</v>
      </c>
      <c r="J392" s="226"/>
      <c r="K392" s="694">
        <f t="shared" si="56"/>
        <v>0</v>
      </c>
      <c r="L392" s="694">
        <f t="shared" si="57"/>
        <v>0</v>
      </c>
      <c r="M392" s="226"/>
      <c r="N392" s="688">
        <f t="shared" si="58"/>
        <v>0</v>
      </c>
      <c r="O392" s="688">
        <f t="shared" si="59"/>
        <v>0</v>
      </c>
      <c r="P392" s="226"/>
      <c r="Q392" s="688">
        <f t="shared" si="60"/>
        <v>0</v>
      </c>
      <c r="R392" s="687">
        <f t="shared" si="61"/>
        <v>0</v>
      </c>
      <c r="S392" s="27"/>
    </row>
    <row r="393" spans="1:19" ht="12.75">
      <c r="A393" s="12"/>
      <c r="B393" s="103" t="str">
        <f t="shared" si="62"/>
        <v>12 P</v>
      </c>
      <c r="C393" s="164">
        <f t="shared" si="50"/>
        <v>0</v>
      </c>
      <c r="D393" s="104">
        <f t="shared" si="51"/>
        <v>0</v>
      </c>
      <c r="E393" s="105">
        <f t="shared" si="52"/>
        <v>0</v>
      </c>
      <c r="F393" s="106">
        <f t="shared" si="53"/>
        <v>0</v>
      </c>
      <c r="G393" s="27"/>
      <c r="H393" s="695">
        <f t="shared" si="54"/>
        <v>0</v>
      </c>
      <c r="I393" s="696">
        <f t="shared" si="55"/>
        <v>0</v>
      </c>
      <c r="J393" s="226"/>
      <c r="K393" s="694">
        <f t="shared" si="56"/>
        <v>0</v>
      </c>
      <c r="L393" s="694">
        <f t="shared" si="57"/>
        <v>0</v>
      </c>
      <c r="M393" s="226"/>
      <c r="N393" s="688">
        <f t="shared" si="58"/>
        <v>0</v>
      </c>
      <c r="O393" s="688">
        <f t="shared" si="59"/>
        <v>0</v>
      </c>
      <c r="P393" s="226"/>
      <c r="Q393" s="688">
        <f t="shared" si="60"/>
        <v>0</v>
      </c>
      <c r="R393" s="687">
        <f t="shared" si="61"/>
        <v>0</v>
      </c>
      <c r="S393" s="27"/>
    </row>
    <row r="394" spans="1:19" ht="12.75">
      <c r="A394" s="12"/>
      <c r="B394" s="103" t="str">
        <f t="shared" si="62"/>
        <v>1 P</v>
      </c>
      <c r="C394" s="164">
        <f t="shared" si="50"/>
        <v>0</v>
      </c>
      <c r="D394" s="104">
        <f t="shared" si="51"/>
        <v>0</v>
      </c>
      <c r="E394" s="105">
        <f t="shared" si="52"/>
        <v>0</v>
      </c>
      <c r="F394" s="106">
        <f t="shared" si="53"/>
        <v>0</v>
      </c>
      <c r="G394" s="27"/>
      <c r="H394" s="695">
        <f t="shared" si="54"/>
        <v>0</v>
      </c>
      <c r="I394" s="696">
        <f t="shared" si="55"/>
        <v>0</v>
      </c>
      <c r="J394" s="226"/>
      <c r="K394" s="694">
        <f t="shared" si="56"/>
        <v>0</v>
      </c>
      <c r="L394" s="694">
        <f t="shared" si="57"/>
        <v>0</v>
      </c>
      <c r="M394" s="226"/>
      <c r="N394" s="688">
        <f t="shared" si="58"/>
        <v>0</v>
      </c>
      <c r="O394" s="688">
        <f t="shared" si="59"/>
        <v>0</v>
      </c>
      <c r="P394" s="226"/>
      <c r="Q394" s="688">
        <f t="shared" si="60"/>
        <v>0</v>
      </c>
      <c r="R394" s="687">
        <f t="shared" si="61"/>
        <v>0</v>
      </c>
      <c r="S394" s="27"/>
    </row>
    <row r="395" spans="1:19" ht="12.75">
      <c r="A395" s="12"/>
      <c r="B395" s="103" t="str">
        <f t="shared" si="62"/>
        <v>2 P</v>
      </c>
      <c r="C395" s="164">
        <f t="shared" si="50"/>
        <v>0</v>
      </c>
      <c r="D395" s="104">
        <f t="shared" si="51"/>
        <v>0</v>
      </c>
      <c r="E395" s="105">
        <f t="shared" si="52"/>
        <v>0</v>
      </c>
      <c r="F395" s="106">
        <f t="shared" si="53"/>
        <v>0</v>
      </c>
      <c r="G395" s="27"/>
      <c r="H395" s="695">
        <f t="shared" si="54"/>
        <v>0</v>
      </c>
      <c r="I395" s="696">
        <f t="shared" si="55"/>
        <v>0</v>
      </c>
      <c r="J395" s="226"/>
      <c r="K395" s="694">
        <f t="shared" si="56"/>
        <v>0</v>
      </c>
      <c r="L395" s="694">
        <f t="shared" si="57"/>
        <v>0</v>
      </c>
      <c r="M395" s="226"/>
      <c r="N395" s="688">
        <f t="shared" si="58"/>
        <v>0</v>
      </c>
      <c r="O395" s="688">
        <f t="shared" si="59"/>
        <v>0</v>
      </c>
      <c r="P395" s="226"/>
      <c r="Q395" s="688">
        <f t="shared" si="60"/>
        <v>0</v>
      </c>
      <c r="R395" s="687">
        <f t="shared" si="61"/>
        <v>0</v>
      </c>
      <c r="S395" s="27"/>
    </row>
    <row r="396" spans="1:19" ht="12.75">
      <c r="A396" s="12"/>
      <c r="B396" s="103" t="str">
        <f t="shared" si="62"/>
        <v>3 P</v>
      </c>
      <c r="C396" s="164">
        <f t="shared" si="50"/>
        <v>0</v>
      </c>
      <c r="D396" s="104">
        <f t="shared" si="51"/>
        <v>0</v>
      </c>
      <c r="E396" s="105">
        <f t="shared" si="52"/>
        <v>0</v>
      </c>
      <c r="F396" s="106">
        <f t="shared" si="53"/>
        <v>0</v>
      </c>
      <c r="G396" s="27"/>
      <c r="H396" s="695">
        <f t="shared" si="54"/>
        <v>0</v>
      </c>
      <c r="I396" s="696">
        <f t="shared" si="55"/>
        <v>0</v>
      </c>
      <c r="J396" s="226"/>
      <c r="K396" s="694">
        <f t="shared" si="56"/>
        <v>0</v>
      </c>
      <c r="L396" s="694">
        <f t="shared" si="57"/>
        <v>0</v>
      </c>
      <c r="M396" s="226"/>
      <c r="N396" s="688">
        <f t="shared" si="58"/>
        <v>0</v>
      </c>
      <c r="O396" s="688">
        <f t="shared" si="59"/>
        <v>0</v>
      </c>
      <c r="P396" s="226"/>
      <c r="Q396" s="688">
        <f t="shared" si="60"/>
        <v>0</v>
      </c>
      <c r="R396" s="687">
        <f t="shared" si="61"/>
        <v>0</v>
      </c>
      <c r="S396" s="27"/>
    </row>
    <row r="397" spans="1:19" ht="12.75">
      <c r="A397" s="12"/>
      <c r="B397" s="103" t="str">
        <f t="shared" si="62"/>
        <v>4 P</v>
      </c>
      <c r="C397" s="164">
        <f t="shared" si="50"/>
        <v>0</v>
      </c>
      <c r="D397" s="104">
        <f t="shared" si="51"/>
        <v>0</v>
      </c>
      <c r="E397" s="105">
        <f t="shared" si="52"/>
        <v>0</v>
      </c>
      <c r="F397" s="106">
        <f t="shared" si="53"/>
        <v>0</v>
      </c>
      <c r="G397" s="27"/>
      <c r="H397" s="695">
        <f t="shared" si="54"/>
        <v>0</v>
      </c>
      <c r="I397" s="696">
        <f t="shared" si="55"/>
        <v>0</v>
      </c>
      <c r="J397" s="226"/>
      <c r="K397" s="694">
        <f t="shared" si="56"/>
        <v>0</v>
      </c>
      <c r="L397" s="694">
        <f t="shared" si="57"/>
        <v>0</v>
      </c>
      <c r="M397" s="226"/>
      <c r="N397" s="688">
        <f t="shared" si="58"/>
        <v>0</v>
      </c>
      <c r="O397" s="688">
        <f t="shared" si="59"/>
        <v>0</v>
      </c>
      <c r="P397" s="226"/>
      <c r="Q397" s="688">
        <f t="shared" si="60"/>
        <v>0</v>
      </c>
      <c r="R397" s="687">
        <f t="shared" si="61"/>
        <v>0</v>
      </c>
      <c r="S397" s="27"/>
    </row>
    <row r="398" spans="1:19" ht="12.75">
      <c r="A398" s="12"/>
      <c r="B398" s="103" t="str">
        <f t="shared" si="62"/>
        <v>5 P</v>
      </c>
      <c r="C398" s="164">
        <f t="shared" si="50"/>
        <v>0</v>
      </c>
      <c r="D398" s="104">
        <f t="shared" si="51"/>
        <v>0</v>
      </c>
      <c r="E398" s="105">
        <f t="shared" si="52"/>
        <v>0</v>
      </c>
      <c r="F398" s="106">
        <f t="shared" si="53"/>
        <v>0</v>
      </c>
      <c r="G398" s="27"/>
      <c r="H398" s="695">
        <f t="shared" si="54"/>
        <v>0</v>
      </c>
      <c r="I398" s="696">
        <f t="shared" si="55"/>
        <v>0</v>
      </c>
      <c r="J398" s="226"/>
      <c r="K398" s="694">
        <f t="shared" si="56"/>
        <v>0</v>
      </c>
      <c r="L398" s="694">
        <f t="shared" si="57"/>
        <v>0</v>
      </c>
      <c r="M398" s="226"/>
      <c r="N398" s="688">
        <f t="shared" si="58"/>
        <v>0</v>
      </c>
      <c r="O398" s="688">
        <f t="shared" si="59"/>
        <v>0</v>
      </c>
      <c r="P398" s="226"/>
      <c r="Q398" s="688">
        <f t="shared" si="60"/>
        <v>0</v>
      </c>
      <c r="R398" s="687">
        <f t="shared" si="61"/>
        <v>0</v>
      </c>
      <c r="S398" s="27"/>
    </row>
    <row r="399" spans="1:42" s="71" customFormat="1" ht="12.75">
      <c r="A399" s="107"/>
      <c r="B399" s="103" t="str">
        <f t="shared" si="62"/>
        <v>6 P</v>
      </c>
      <c r="C399" s="164">
        <f t="shared" si="50"/>
        <v>0</v>
      </c>
      <c r="D399" s="104">
        <f t="shared" si="51"/>
        <v>0</v>
      </c>
      <c r="E399" s="105">
        <f t="shared" si="52"/>
        <v>0</v>
      </c>
      <c r="F399" s="106">
        <f t="shared" si="53"/>
        <v>0</v>
      </c>
      <c r="G399" s="27"/>
      <c r="H399" s="695">
        <f t="shared" si="54"/>
        <v>0</v>
      </c>
      <c r="I399" s="696">
        <f t="shared" si="55"/>
        <v>0</v>
      </c>
      <c r="J399" s="226"/>
      <c r="K399" s="694">
        <f t="shared" si="56"/>
        <v>0</v>
      </c>
      <c r="L399" s="694">
        <f t="shared" si="57"/>
        <v>0</v>
      </c>
      <c r="M399" s="226"/>
      <c r="N399" s="688">
        <f t="shared" si="58"/>
        <v>0</v>
      </c>
      <c r="O399" s="688">
        <f t="shared" si="59"/>
        <v>0</v>
      </c>
      <c r="P399" s="226"/>
      <c r="Q399" s="688">
        <f t="shared" si="60"/>
        <v>0</v>
      </c>
      <c r="R399" s="687">
        <f t="shared" si="61"/>
        <v>0</v>
      </c>
      <c r="S399" s="27"/>
      <c r="T399"/>
      <c r="U399"/>
      <c r="V399"/>
      <c r="W399"/>
      <c r="X399"/>
      <c r="Y399"/>
      <c r="Z399"/>
      <c r="AA399"/>
      <c r="AB399"/>
      <c r="AC399"/>
      <c r="AD399"/>
      <c r="AE399"/>
      <c r="AF399"/>
      <c r="AG399"/>
      <c r="AH399"/>
      <c r="AI399"/>
      <c r="AJ399"/>
      <c r="AK399"/>
      <c r="AL399"/>
      <c r="AM399"/>
      <c r="AN399"/>
      <c r="AO399"/>
      <c r="AP399"/>
    </row>
    <row r="400" spans="1:19" ht="12.75">
      <c r="A400" s="12"/>
      <c r="B400" s="103" t="str">
        <f t="shared" si="62"/>
        <v>7 P</v>
      </c>
      <c r="C400" s="164">
        <f t="shared" si="50"/>
        <v>0</v>
      </c>
      <c r="D400" s="104">
        <f t="shared" si="51"/>
        <v>0</v>
      </c>
      <c r="E400" s="105">
        <f t="shared" si="52"/>
        <v>0</v>
      </c>
      <c r="F400" s="106">
        <f t="shared" si="53"/>
        <v>0</v>
      </c>
      <c r="G400" s="27"/>
      <c r="H400" s="695">
        <f t="shared" si="54"/>
        <v>0</v>
      </c>
      <c r="I400" s="696">
        <f t="shared" si="55"/>
        <v>0</v>
      </c>
      <c r="J400" s="226"/>
      <c r="K400" s="694">
        <f t="shared" si="56"/>
        <v>0</v>
      </c>
      <c r="L400" s="694">
        <f t="shared" si="57"/>
        <v>0</v>
      </c>
      <c r="M400" s="226"/>
      <c r="N400" s="688">
        <f t="shared" si="58"/>
        <v>0</v>
      </c>
      <c r="O400" s="688">
        <f t="shared" si="59"/>
        <v>0</v>
      </c>
      <c r="P400" s="226"/>
      <c r="Q400" s="688">
        <f t="shared" si="60"/>
        <v>0</v>
      </c>
      <c r="R400" s="687">
        <f t="shared" si="61"/>
        <v>0</v>
      </c>
      <c r="S400" s="27"/>
    </row>
    <row r="401" spans="1:19" ht="12.75">
      <c r="A401" s="12"/>
      <c r="B401" s="103" t="str">
        <f t="shared" si="62"/>
        <v>8 P</v>
      </c>
      <c r="C401" s="164">
        <f t="shared" si="50"/>
        <v>0</v>
      </c>
      <c r="D401" s="104">
        <f t="shared" si="51"/>
        <v>0</v>
      </c>
      <c r="E401" s="105">
        <f t="shared" si="52"/>
        <v>0</v>
      </c>
      <c r="F401" s="106">
        <f t="shared" si="53"/>
        <v>0</v>
      </c>
      <c r="G401" s="27"/>
      <c r="H401" s="695">
        <f t="shared" si="54"/>
        <v>0</v>
      </c>
      <c r="I401" s="696">
        <f t="shared" si="55"/>
        <v>0</v>
      </c>
      <c r="J401" s="226"/>
      <c r="K401" s="694">
        <f t="shared" si="56"/>
        <v>0</v>
      </c>
      <c r="L401" s="694">
        <f t="shared" si="57"/>
        <v>0</v>
      </c>
      <c r="M401" s="226"/>
      <c r="N401" s="688">
        <f t="shared" si="58"/>
        <v>0</v>
      </c>
      <c r="O401" s="688">
        <f t="shared" si="59"/>
        <v>0</v>
      </c>
      <c r="P401" s="226"/>
      <c r="Q401" s="688">
        <f t="shared" si="60"/>
        <v>0</v>
      </c>
      <c r="R401" s="687">
        <f t="shared" si="61"/>
        <v>0</v>
      </c>
      <c r="S401" s="27"/>
    </row>
    <row r="402" spans="1:19" ht="12.75">
      <c r="A402" s="12"/>
      <c r="B402" s="103" t="str">
        <f t="shared" si="62"/>
        <v>9 P</v>
      </c>
      <c r="C402" s="164">
        <f t="shared" si="50"/>
        <v>0</v>
      </c>
      <c r="D402" s="104">
        <f t="shared" si="51"/>
        <v>0</v>
      </c>
      <c r="E402" s="105">
        <f t="shared" si="52"/>
        <v>0</v>
      </c>
      <c r="F402" s="106">
        <f t="shared" si="53"/>
        <v>0</v>
      </c>
      <c r="G402" s="27"/>
      <c r="H402" s="695">
        <f t="shared" si="54"/>
        <v>0</v>
      </c>
      <c r="I402" s="696">
        <f t="shared" si="55"/>
        <v>0</v>
      </c>
      <c r="J402" s="226"/>
      <c r="K402" s="694">
        <f t="shared" si="56"/>
        <v>0</v>
      </c>
      <c r="L402" s="694">
        <f t="shared" si="57"/>
        <v>0</v>
      </c>
      <c r="M402" s="226"/>
      <c r="N402" s="688">
        <f t="shared" si="58"/>
        <v>0</v>
      </c>
      <c r="O402" s="688">
        <f t="shared" si="59"/>
        <v>0</v>
      </c>
      <c r="P402" s="226"/>
      <c r="Q402" s="688">
        <f t="shared" si="60"/>
        <v>0</v>
      </c>
      <c r="R402" s="687">
        <f t="shared" si="61"/>
        <v>0</v>
      </c>
      <c r="S402" s="27"/>
    </row>
    <row r="403" spans="1:19" ht="12.75">
      <c r="A403" s="12"/>
      <c r="B403" s="103" t="str">
        <f t="shared" si="62"/>
        <v>10 P</v>
      </c>
      <c r="C403" s="164">
        <f t="shared" si="50"/>
        <v>0</v>
      </c>
      <c r="D403" s="104">
        <f t="shared" si="51"/>
        <v>0</v>
      </c>
      <c r="E403" s="105">
        <f t="shared" si="52"/>
        <v>0</v>
      </c>
      <c r="F403" s="106">
        <f t="shared" si="53"/>
        <v>0</v>
      </c>
      <c r="G403" s="27"/>
      <c r="H403" s="695">
        <f t="shared" si="54"/>
        <v>0</v>
      </c>
      <c r="I403" s="696">
        <f t="shared" si="55"/>
        <v>0</v>
      </c>
      <c r="J403" s="226"/>
      <c r="K403" s="694">
        <f t="shared" si="56"/>
        <v>0</v>
      </c>
      <c r="L403" s="694">
        <f t="shared" si="57"/>
        <v>0</v>
      </c>
      <c r="M403" s="226"/>
      <c r="N403" s="688">
        <f t="shared" si="58"/>
        <v>0</v>
      </c>
      <c r="O403" s="688">
        <f t="shared" si="59"/>
        <v>0</v>
      </c>
      <c r="P403" s="226"/>
      <c r="Q403" s="688">
        <f t="shared" si="60"/>
        <v>0</v>
      </c>
      <c r="R403" s="687">
        <f t="shared" si="61"/>
        <v>0</v>
      </c>
      <c r="S403" s="27"/>
    </row>
    <row r="404" spans="1:19" ht="13.5" thickBot="1">
      <c r="A404" s="12"/>
      <c r="B404" s="103" t="str">
        <f t="shared" si="62"/>
        <v>11 P</v>
      </c>
      <c r="C404" s="164">
        <f t="shared" si="50"/>
        <v>0</v>
      </c>
      <c r="D404" s="104">
        <f t="shared" si="51"/>
        <v>0</v>
      </c>
      <c r="E404" s="105">
        <f t="shared" si="52"/>
        <v>0</v>
      </c>
      <c r="F404" s="106">
        <f t="shared" si="53"/>
        <v>0</v>
      </c>
      <c r="G404" s="27"/>
      <c r="H404" s="695">
        <f t="shared" si="54"/>
        <v>0</v>
      </c>
      <c r="I404" s="696">
        <f t="shared" si="55"/>
        <v>0</v>
      </c>
      <c r="J404" s="226"/>
      <c r="K404" s="694">
        <f t="shared" si="56"/>
        <v>0</v>
      </c>
      <c r="L404" s="694">
        <f t="shared" si="57"/>
        <v>0</v>
      </c>
      <c r="M404" s="226"/>
      <c r="N404" s="688">
        <f t="shared" si="58"/>
        <v>0</v>
      </c>
      <c r="O404" s="688">
        <f t="shared" si="59"/>
        <v>0</v>
      </c>
      <c r="P404" s="226"/>
      <c r="Q404" s="688">
        <f t="shared" si="60"/>
        <v>0</v>
      </c>
      <c r="R404" s="687">
        <f t="shared" si="61"/>
        <v>0</v>
      </c>
      <c r="S404" s="27"/>
    </row>
    <row r="405" spans="1:19" ht="12.75">
      <c r="A405" s="12"/>
      <c r="B405" s="135" t="s">
        <v>139</v>
      </c>
      <c r="C405" s="109">
        <f>SUM(C381:C404)</f>
        <v>0</v>
      </c>
      <c r="D405" s="136">
        <f>SUM(D381:D404)</f>
        <v>0</v>
      </c>
      <c r="E405" s="136">
        <f>SUM(E381:E404)</f>
        <v>0</v>
      </c>
      <c r="F405" s="137">
        <f>SUM(F381:F404)</f>
        <v>0</v>
      </c>
      <c r="G405" s="697">
        <f>SUM(G381:G404)</f>
        <v>0</v>
      </c>
      <c r="H405" s="138"/>
      <c r="I405" s="139"/>
      <c r="J405" s="698"/>
      <c r="K405" s="138"/>
      <c r="L405" s="137"/>
      <c r="M405" s="698">
        <f>SUM(M381:M404)</f>
        <v>0</v>
      </c>
      <c r="N405" s="666">
        <f>SUM(N381:N404)</f>
        <v>0</v>
      </c>
      <c r="O405" s="667">
        <f>SUM(O381:O404)</f>
        <v>0</v>
      </c>
      <c r="P405" s="692">
        <f>SUM(P381:P404)</f>
        <v>0</v>
      </c>
      <c r="Q405" s="699">
        <f>SUM(Q381:Q404)</f>
        <v>0</v>
      </c>
      <c r="R405" s="700">
        <f t="shared" si="61"/>
        <v>0</v>
      </c>
      <c r="S405" s="27"/>
    </row>
    <row r="406" spans="1:19" ht="12.75">
      <c r="A406" s="12"/>
      <c r="B406" s="140" t="s">
        <v>141</v>
      </c>
      <c r="C406" s="113">
        <f aca="true" t="shared" si="63" ref="C406:Q406">MAX(C381:C404)</f>
        <v>0</v>
      </c>
      <c r="D406" s="141">
        <f t="shared" si="63"/>
        <v>0</v>
      </c>
      <c r="E406" s="141">
        <f t="shared" si="63"/>
        <v>0</v>
      </c>
      <c r="F406" s="142">
        <f t="shared" si="63"/>
        <v>0</v>
      </c>
      <c r="G406" s="697">
        <f t="shared" si="63"/>
        <v>0</v>
      </c>
      <c r="H406" s="143">
        <f t="shared" si="63"/>
        <v>0</v>
      </c>
      <c r="I406" s="144">
        <f t="shared" si="63"/>
        <v>0</v>
      </c>
      <c r="J406" s="698">
        <f t="shared" si="63"/>
        <v>0</v>
      </c>
      <c r="K406" s="143">
        <f t="shared" si="63"/>
        <v>0</v>
      </c>
      <c r="L406" s="144">
        <f t="shared" si="63"/>
        <v>0</v>
      </c>
      <c r="M406" s="698">
        <f t="shared" si="63"/>
        <v>0</v>
      </c>
      <c r="N406" s="668">
        <f t="shared" si="63"/>
        <v>0</v>
      </c>
      <c r="O406" s="669">
        <f t="shared" si="63"/>
        <v>0</v>
      </c>
      <c r="P406" s="692">
        <f t="shared" si="63"/>
        <v>0</v>
      </c>
      <c r="Q406" s="701">
        <f t="shared" si="63"/>
        <v>0</v>
      </c>
      <c r="R406" s="702">
        <f t="shared" si="61"/>
        <v>0</v>
      </c>
      <c r="S406" s="27"/>
    </row>
    <row r="407" spans="1:19" ht="13.5" thickBot="1">
      <c r="A407" s="12"/>
      <c r="B407" s="145" t="s">
        <v>142</v>
      </c>
      <c r="C407" s="116">
        <f aca="true" t="shared" si="64" ref="C407:Q407">MIN(C381:C404)</f>
        <v>0</v>
      </c>
      <c r="D407" s="146">
        <f t="shared" si="64"/>
        <v>0</v>
      </c>
      <c r="E407" s="146">
        <f t="shared" si="64"/>
        <v>0</v>
      </c>
      <c r="F407" s="147">
        <f t="shared" si="64"/>
        <v>0</v>
      </c>
      <c r="G407" s="697">
        <f t="shared" si="64"/>
        <v>0</v>
      </c>
      <c r="H407" s="148">
        <f t="shared" si="64"/>
        <v>0</v>
      </c>
      <c r="I407" s="149">
        <f t="shared" si="64"/>
        <v>0</v>
      </c>
      <c r="J407" s="698">
        <f t="shared" si="64"/>
        <v>0</v>
      </c>
      <c r="K407" s="148">
        <f t="shared" si="64"/>
        <v>0</v>
      </c>
      <c r="L407" s="149">
        <f t="shared" si="64"/>
        <v>0</v>
      </c>
      <c r="M407" s="698">
        <f t="shared" si="64"/>
        <v>0</v>
      </c>
      <c r="N407" s="670">
        <f t="shared" si="64"/>
        <v>0</v>
      </c>
      <c r="O407" s="671">
        <f t="shared" si="64"/>
        <v>0</v>
      </c>
      <c r="P407" s="692">
        <f t="shared" si="64"/>
        <v>0</v>
      </c>
      <c r="Q407" s="703">
        <f t="shared" si="64"/>
        <v>0</v>
      </c>
      <c r="R407" s="704">
        <f t="shared" si="61"/>
        <v>0</v>
      </c>
      <c r="S407" s="27"/>
    </row>
    <row r="408" spans="1:19" ht="4.5" customHeight="1" thickBot="1">
      <c r="A408" s="20"/>
      <c r="B408" s="544"/>
      <c r="C408" s="630"/>
      <c r="D408" s="659"/>
      <c r="E408" s="544"/>
      <c r="F408" s="17"/>
      <c r="G408" s="17"/>
      <c r="H408" s="17"/>
      <c r="I408" s="17"/>
      <c r="J408" s="544"/>
      <c r="K408" s="17"/>
      <c r="L408" s="17"/>
      <c r="M408" s="17"/>
      <c r="N408" s="17"/>
      <c r="O408" s="17"/>
      <c r="P408" s="17"/>
      <c r="Q408" s="17"/>
      <c r="R408" s="17"/>
      <c r="S408" s="18"/>
    </row>
    <row r="409" spans="1:19" ht="4.5" customHeight="1">
      <c r="A409" s="1"/>
      <c r="B409" s="97"/>
      <c r="C409" s="1173"/>
      <c r="D409" s="1174"/>
      <c r="E409" s="97"/>
      <c r="F409" s="1"/>
      <c r="G409" s="1"/>
      <c r="H409" s="1"/>
      <c r="I409" s="1"/>
      <c r="J409" s="97"/>
      <c r="K409" s="1"/>
      <c r="L409" s="1"/>
      <c r="M409" s="1"/>
      <c r="N409" s="1"/>
      <c r="O409" s="1"/>
      <c r="P409" s="1"/>
      <c r="Q409" s="1"/>
      <c r="R409" s="1"/>
      <c r="S409" s="1"/>
    </row>
    <row r="410" spans="2:7" ht="13.5" thickBot="1">
      <c r="B410" s="875" t="s">
        <v>549</v>
      </c>
      <c r="G410"/>
    </row>
    <row r="411" spans="2:9" ht="21">
      <c r="B411" s="161" t="s">
        <v>160</v>
      </c>
      <c r="C411" s="23"/>
      <c r="D411" s="23"/>
      <c r="E411" s="23"/>
      <c r="F411" s="162" t="s">
        <v>161</v>
      </c>
      <c r="G411" s="23"/>
      <c r="H411" s="23"/>
      <c r="I411" s="163">
        <v>2</v>
      </c>
    </row>
    <row r="412" spans="2:9" ht="21">
      <c r="B412" s="32" t="s">
        <v>162</v>
      </c>
      <c r="C412" s="4"/>
      <c r="D412" s="4"/>
      <c r="E412" s="4"/>
      <c r="F412" s="9" t="s">
        <v>163</v>
      </c>
      <c r="G412" s="6"/>
      <c r="H412" s="4"/>
      <c r="I412" s="42">
        <v>30</v>
      </c>
    </row>
    <row r="413" spans="2:15" ht="21">
      <c r="B413" s="32" t="s">
        <v>545</v>
      </c>
      <c r="C413" s="4"/>
      <c r="D413" s="4"/>
      <c r="E413" s="4"/>
      <c r="F413" s="9" t="s">
        <v>164</v>
      </c>
      <c r="G413" s="6"/>
      <c r="H413" s="4"/>
      <c r="I413" s="42">
        <v>0.1</v>
      </c>
      <c r="O413" s="45" t="s">
        <v>99</v>
      </c>
    </row>
    <row r="414" spans="2:15" ht="12.75">
      <c r="B414" s="32" t="s">
        <v>460</v>
      </c>
      <c r="C414" s="4"/>
      <c r="D414" s="4"/>
      <c r="E414" s="4"/>
      <c r="F414" s="9"/>
      <c r="G414" s="6"/>
      <c r="H414" s="4"/>
      <c r="I414" s="1171">
        <v>0.002</v>
      </c>
      <c r="O414" s="45" t="s">
        <v>100</v>
      </c>
    </row>
    <row r="415" spans="2:15" ht="12.75">
      <c r="B415" s="32" t="s">
        <v>461</v>
      </c>
      <c r="C415" s="4"/>
      <c r="D415" s="4"/>
      <c r="E415" s="4"/>
      <c r="F415" s="9"/>
      <c r="G415" s="6"/>
      <c r="H415" s="4"/>
      <c r="I415" s="921">
        <f>MAX(E44:F67)</f>
        <v>0</v>
      </c>
      <c r="O415" s="228" t="s">
        <v>104</v>
      </c>
    </row>
    <row r="416" spans="2:15" ht="21">
      <c r="B416" s="39" t="s">
        <v>546</v>
      </c>
      <c r="C416" s="8"/>
      <c r="D416" s="8"/>
      <c r="E416" s="8"/>
      <c r="F416" s="40" t="s">
        <v>165</v>
      </c>
      <c r="G416" s="10"/>
      <c r="H416" s="8"/>
      <c r="I416" s="1172">
        <f>I414*I415</f>
        <v>0</v>
      </c>
      <c r="O416" s="228" t="s">
        <v>105</v>
      </c>
    </row>
    <row r="417" spans="2:15" ht="21">
      <c r="B417" s="12" t="s">
        <v>547</v>
      </c>
      <c r="C417" s="1"/>
      <c r="D417" s="1"/>
      <c r="E417" s="1"/>
      <c r="F417" s="1" t="s">
        <v>166</v>
      </c>
      <c r="G417" s="1"/>
      <c r="H417" s="1"/>
      <c r="I417" s="452">
        <v>0</v>
      </c>
      <c r="O417" s="228" t="s">
        <v>106</v>
      </c>
    </row>
    <row r="418" spans="2:15" ht="21.75" thickBot="1">
      <c r="B418" s="20" t="s">
        <v>548</v>
      </c>
      <c r="C418" s="17"/>
      <c r="D418" s="17"/>
      <c r="E418" s="17"/>
      <c r="F418" s="17" t="s">
        <v>167</v>
      </c>
      <c r="G418" s="17"/>
      <c r="H418" s="17"/>
      <c r="I418" s="453">
        <v>0</v>
      </c>
      <c r="O418" s="228" t="s">
        <v>107</v>
      </c>
    </row>
    <row r="419" spans="2:15" ht="12.75">
      <c r="B419" s="22" t="s">
        <v>168</v>
      </c>
      <c r="C419" s="14"/>
      <c r="D419" s="14"/>
      <c r="E419" s="14"/>
      <c r="F419" s="14" t="s">
        <v>169</v>
      </c>
      <c r="G419" s="14"/>
      <c r="H419" s="14"/>
      <c r="I419" s="454">
        <v>20</v>
      </c>
      <c r="O419" s="45" t="s">
        <v>170</v>
      </c>
    </row>
    <row r="420" spans="2:15" ht="12.75">
      <c r="B420" s="32" t="s">
        <v>171</v>
      </c>
      <c r="C420" s="1"/>
      <c r="D420" s="1"/>
      <c r="E420" s="1"/>
      <c r="F420" s="1" t="s">
        <v>172</v>
      </c>
      <c r="G420" s="1"/>
      <c r="H420" s="1"/>
      <c r="I420" s="455">
        <v>1</v>
      </c>
      <c r="O420" s="228" t="s">
        <v>173</v>
      </c>
    </row>
    <row r="421" spans="2:15" ht="12.75">
      <c r="B421" s="32" t="s">
        <v>174</v>
      </c>
      <c r="C421" s="1"/>
      <c r="D421" s="1"/>
      <c r="E421" s="1"/>
      <c r="F421" s="1" t="s">
        <v>175</v>
      </c>
      <c r="G421" s="1"/>
      <c r="H421" s="1"/>
      <c r="I421" s="455">
        <v>1</v>
      </c>
      <c r="O421" s="228" t="s">
        <v>112</v>
      </c>
    </row>
    <row r="422" spans="2:15" ht="12.75">
      <c r="B422" s="12" t="s">
        <v>176</v>
      </c>
      <c r="C422" s="1"/>
      <c r="D422" s="1"/>
      <c r="E422" s="1"/>
      <c r="F422" s="1" t="s">
        <v>177</v>
      </c>
      <c r="G422" s="1"/>
      <c r="H422" s="1"/>
      <c r="I422" s="456">
        <v>0</v>
      </c>
      <c r="O422" s="228" t="s">
        <v>113</v>
      </c>
    </row>
    <row r="423" spans="2:15" ht="12.75">
      <c r="B423" s="33" t="s">
        <v>178</v>
      </c>
      <c r="C423" s="4"/>
      <c r="D423" s="4"/>
      <c r="E423" s="4"/>
      <c r="F423" s="7" t="s">
        <v>179</v>
      </c>
      <c r="G423" s="6"/>
      <c r="H423" s="4"/>
      <c r="I423" s="34">
        <v>0</v>
      </c>
      <c r="O423" s="45" t="s">
        <v>98</v>
      </c>
    </row>
    <row r="424" spans="2:15" ht="13.5" thickBot="1">
      <c r="B424" s="35" t="s">
        <v>180</v>
      </c>
      <c r="C424" s="36"/>
      <c r="D424" s="36"/>
      <c r="E424" s="36"/>
      <c r="F424" s="37" t="s">
        <v>181</v>
      </c>
      <c r="G424" s="26"/>
      <c r="H424" s="36"/>
      <c r="I424" s="38">
        <v>0</v>
      </c>
      <c r="O424" s="45" t="s">
        <v>97</v>
      </c>
    </row>
    <row r="425" spans="2:15" ht="12.75">
      <c r="B425" s="31" t="s">
        <v>182</v>
      </c>
      <c r="C425" s="23"/>
      <c r="D425" s="23"/>
      <c r="E425" s="23"/>
      <c r="F425" s="23" t="s">
        <v>183</v>
      </c>
      <c r="G425" s="16">
        <v>2</v>
      </c>
      <c r="H425" s="6"/>
      <c r="I425" s="191">
        <v>0</v>
      </c>
      <c r="O425" s="45" t="s">
        <v>96</v>
      </c>
    </row>
    <row r="426" spans="2:15" ht="13.5" thickBot="1">
      <c r="B426" s="35" t="s">
        <v>184</v>
      </c>
      <c r="C426" s="26"/>
      <c r="D426" s="26"/>
      <c r="E426" s="26"/>
      <c r="F426" s="26" t="s">
        <v>185</v>
      </c>
      <c r="G426" s="192"/>
      <c r="H426" s="17"/>
      <c r="I426" s="457">
        <v>0</v>
      </c>
      <c r="O426" s="228"/>
    </row>
    <row r="427" ht="13.5" thickBot="1">
      <c r="G427"/>
    </row>
    <row r="428" spans="4:11" ht="13.5" thickBot="1">
      <c r="D428" s="479"/>
      <c r="E428" s="50" t="s">
        <v>186</v>
      </c>
      <c r="F428" s="92"/>
      <c r="G428" s="50"/>
      <c r="H428" s="244"/>
      <c r="I428" s="468"/>
      <c r="J428" s="12"/>
      <c r="K428" s="458" t="s">
        <v>187</v>
      </c>
    </row>
    <row r="429" spans="4:11" ht="13.5" thickBot="1">
      <c r="D429" s="479"/>
      <c r="E429" s="284"/>
      <c r="F429" s="372"/>
      <c r="G429" s="284"/>
      <c r="H429" s="480" t="s">
        <v>96</v>
      </c>
      <c r="I429" s="469">
        <f>$U$190</f>
        <v>0</v>
      </c>
      <c r="J429" s="12"/>
      <c r="K429" s="459" t="s">
        <v>188</v>
      </c>
    </row>
    <row r="430" spans="4:15" ht="13.5" thickBot="1">
      <c r="D430" s="22"/>
      <c r="E430" s="23"/>
      <c r="F430" s="14"/>
      <c r="G430" s="23"/>
      <c r="H430" s="157" t="s">
        <v>97</v>
      </c>
      <c r="I430" s="470">
        <f>$T$190</f>
        <v>0</v>
      </c>
      <c r="J430" s="12"/>
      <c r="K430" s="460">
        <v>1</v>
      </c>
      <c r="O430" s="45"/>
    </row>
    <row r="431" spans="4:11" ht="13.5" thickBot="1">
      <c r="D431" s="20"/>
      <c r="E431" s="26"/>
      <c r="F431" s="17"/>
      <c r="G431" s="26"/>
      <c r="H431" s="153" t="s">
        <v>98</v>
      </c>
      <c r="I431" s="470">
        <f>$R$190</f>
        <v>0</v>
      </c>
      <c r="J431" s="12"/>
      <c r="K431" s="461" t="s">
        <v>189</v>
      </c>
    </row>
    <row r="432" spans="4:11" ht="12.75">
      <c r="D432" s="22"/>
      <c r="E432" s="23"/>
      <c r="F432" s="14"/>
      <c r="G432" s="23"/>
      <c r="H432" s="157" t="s">
        <v>99</v>
      </c>
      <c r="I432" s="471">
        <f>H159</f>
        <v>0</v>
      </c>
      <c r="J432" s="12"/>
      <c r="K432" s="462" t="s">
        <v>188</v>
      </c>
    </row>
    <row r="433" spans="4:11" ht="13.5" thickBot="1">
      <c r="D433" s="20"/>
      <c r="E433" s="26"/>
      <c r="F433" s="17"/>
      <c r="G433" s="26"/>
      <c r="H433" s="153" t="s">
        <v>100</v>
      </c>
      <c r="I433" s="477">
        <f>I159</f>
        <v>0</v>
      </c>
      <c r="J433" s="12"/>
      <c r="K433" s="463">
        <v>1</v>
      </c>
    </row>
    <row r="434" spans="4:10" ht="12.75">
      <c r="D434" s="22"/>
      <c r="E434" s="23"/>
      <c r="F434" s="14"/>
      <c r="G434" s="14"/>
      <c r="H434" s="157" t="s">
        <v>101</v>
      </c>
      <c r="I434" s="478">
        <f>$K$159</f>
        <v>0</v>
      </c>
      <c r="J434" s="12"/>
    </row>
    <row r="435" spans="4:10" ht="12.75">
      <c r="D435" s="12"/>
      <c r="E435" s="6"/>
      <c r="F435" s="1"/>
      <c r="G435" s="1"/>
      <c r="H435" s="484" t="s">
        <v>103</v>
      </c>
      <c r="I435" s="226">
        <f>$L$158</f>
        <v>0</v>
      </c>
      <c r="J435" s="12"/>
    </row>
    <row r="436" spans="4:15" ht="13.5" thickBot="1">
      <c r="D436" s="20"/>
      <c r="E436" s="17"/>
      <c r="F436" s="17"/>
      <c r="G436" s="26"/>
      <c r="H436" s="481" t="s">
        <v>536</v>
      </c>
      <c r="I436" s="1183">
        <f>$I$435*60/($F$158+0.000001)</f>
        <v>0</v>
      </c>
      <c r="J436" s="12"/>
      <c r="K436" s="71" t="s">
        <v>190</v>
      </c>
      <c r="O436" s="228" t="s">
        <v>191</v>
      </c>
    </row>
    <row r="437" spans="4:17" ht="12.75">
      <c r="D437" s="22"/>
      <c r="E437" s="23"/>
      <c r="F437" s="14"/>
      <c r="G437" s="23"/>
      <c r="H437" s="482" t="s">
        <v>104</v>
      </c>
      <c r="I437" s="226">
        <f>C190+D190</f>
        <v>0</v>
      </c>
      <c r="J437" s="12"/>
      <c r="K437" s="566" t="s">
        <v>192</v>
      </c>
      <c r="L437" t="s">
        <v>193</v>
      </c>
      <c r="N437" s="565">
        <v>0.756712962962963</v>
      </c>
      <c r="O437" s="5"/>
      <c r="P437" s="5"/>
      <c r="Q437" s="5"/>
    </row>
    <row r="438" spans="4:17" ht="12.75">
      <c r="D438" s="12"/>
      <c r="E438" s="6"/>
      <c r="F438" s="1"/>
      <c r="G438" s="6"/>
      <c r="H438" s="484" t="s">
        <v>105</v>
      </c>
      <c r="I438" s="226">
        <f>E190+F190</f>
        <v>0</v>
      </c>
      <c r="J438" s="12"/>
      <c r="K438" s="566" t="s">
        <v>194</v>
      </c>
      <c r="L438" t="s">
        <v>195</v>
      </c>
      <c r="N438" s="565">
        <v>0.7567245370370371</v>
      </c>
      <c r="O438" s="567">
        <f aca="true" t="shared" si="65" ref="O438:O443">(N438-N437)*100000</f>
        <v>1.1574074074149898</v>
      </c>
      <c r="P438" s="567"/>
      <c r="Q438" s="567"/>
    </row>
    <row r="439" spans="4:17" ht="12.75">
      <c r="D439" s="12"/>
      <c r="E439" s="6"/>
      <c r="F439" s="1"/>
      <c r="G439" s="6"/>
      <c r="H439" s="484" t="s">
        <v>106</v>
      </c>
      <c r="I439" s="226">
        <f>K190</f>
        <v>0</v>
      </c>
      <c r="J439" s="12"/>
      <c r="K439" s="566" t="s">
        <v>196</v>
      </c>
      <c r="L439" t="s">
        <v>197</v>
      </c>
      <c r="N439" s="565">
        <v>0.7567245370370371</v>
      </c>
      <c r="O439" s="567">
        <f t="shared" si="65"/>
        <v>0</v>
      </c>
      <c r="P439" s="567"/>
      <c r="Q439" s="567"/>
    </row>
    <row r="440" spans="4:17" ht="13.5" thickBot="1">
      <c r="D440" s="20"/>
      <c r="E440" s="26"/>
      <c r="F440" s="17"/>
      <c r="G440" s="26"/>
      <c r="H440" s="481" t="s">
        <v>107</v>
      </c>
      <c r="I440" s="472">
        <f>K190/(E158+0.00001)</f>
        <v>0</v>
      </c>
      <c r="J440" s="12"/>
      <c r="K440" s="566" t="s">
        <v>198</v>
      </c>
      <c r="L440" t="s">
        <v>199</v>
      </c>
      <c r="N440" s="565">
        <v>0.7567245370370371</v>
      </c>
      <c r="O440" s="567">
        <f t="shared" si="65"/>
        <v>0</v>
      </c>
      <c r="P440" s="567"/>
      <c r="Q440" s="567"/>
    </row>
    <row r="441" spans="4:17" ht="12.75">
      <c r="D441" s="22"/>
      <c r="E441" s="14"/>
      <c r="F441" s="14"/>
      <c r="G441" s="14"/>
      <c r="H441" s="157" t="s">
        <v>108</v>
      </c>
      <c r="I441" s="483">
        <f>($H$109/($I$109+0.000001)-$H$110/($I$110+0.000001))*60</f>
        <v>0</v>
      </c>
      <c r="J441" s="12"/>
      <c r="K441" s="566" t="s">
        <v>200</v>
      </c>
      <c r="L441" t="s">
        <v>201</v>
      </c>
      <c r="N441" s="565">
        <v>0.756736111111111</v>
      </c>
      <c r="O441" s="567">
        <f t="shared" si="65"/>
        <v>1.1574074073927854</v>
      </c>
      <c r="P441" s="567"/>
      <c r="Q441" s="567"/>
    </row>
    <row r="442" spans="4:17" ht="12.75">
      <c r="D442" s="12"/>
      <c r="E442" s="6"/>
      <c r="F442" s="1"/>
      <c r="G442" s="1"/>
      <c r="H442" s="152" t="s">
        <v>109</v>
      </c>
      <c r="I442" s="226">
        <f>$I$438*$I$441/60</f>
        <v>0</v>
      </c>
      <c r="K442" s="566" t="s">
        <v>202</v>
      </c>
      <c r="L442" t="s">
        <v>203</v>
      </c>
      <c r="N442" s="565">
        <v>0.756736111111111</v>
      </c>
      <c r="O442" s="567">
        <f t="shared" si="65"/>
        <v>0</v>
      </c>
      <c r="P442" s="567"/>
      <c r="Q442" s="567"/>
    </row>
    <row r="443" spans="4:17" ht="12.75">
      <c r="D443" s="12"/>
      <c r="E443" s="6"/>
      <c r="F443" s="1"/>
      <c r="G443" s="1"/>
      <c r="H443" s="484" t="s">
        <v>111</v>
      </c>
      <c r="I443" s="226">
        <f>$I$435+$I$442</f>
        <v>0</v>
      </c>
      <c r="K443" s="569" t="s">
        <v>204</v>
      </c>
      <c r="L443" s="2" t="s">
        <v>205</v>
      </c>
      <c r="M443" s="2"/>
      <c r="N443" s="570">
        <v>0.756736111111111</v>
      </c>
      <c r="O443" s="568">
        <f t="shared" si="65"/>
        <v>0</v>
      </c>
      <c r="P443" s="567"/>
      <c r="Q443" s="567"/>
    </row>
    <row r="444" spans="4:16" ht="13.5" thickBot="1">
      <c r="D444" s="20"/>
      <c r="E444" s="17"/>
      <c r="F444" s="17"/>
      <c r="G444" s="26"/>
      <c r="H444" s="481" t="s">
        <v>110</v>
      </c>
      <c r="I444" s="1183">
        <f>($I$443/($F$158+$I$438+0.000001))*60</f>
        <v>0</v>
      </c>
      <c r="K444" s="572"/>
      <c r="L444" s="71" t="s">
        <v>206</v>
      </c>
      <c r="M444" s="71"/>
      <c r="N444" s="573"/>
      <c r="O444" s="571">
        <f>(N443-N437)*100000</f>
        <v>2.314814814807775</v>
      </c>
      <c r="P444" s="567"/>
    </row>
    <row r="445" spans="4:9" ht="12.75">
      <c r="D445" s="12"/>
      <c r="E445" s="1"/>
      <c r="F445" s="1"/>
      <c r="G445" s="6"/>
      <c r="H445" s="82" t="s">
        <v>112</v>
      </c>
      <c r="I445" s="473">
        <f>T158</f>
        <v>0</v>
      </c>
    </row>
    <row r="446" spans="4:9" ht="13.5" thickBot="1">
      <c r="D446" s="20"/>
      <c r="E446" s="17"/>
      <c r="F446" s="17"/>
      <c r="G446" s="26"/>
      <c r="H446" s="90" t="s">
        <v>113</v>
      </c>
      <c r="I446" s="474">
        <f>U158</f>
        <v>0</v>
      </c>
    </row>
    <row r="447" spans="5:9" ht="12.75">
      <c r="E447" s="6"/>
      <c r="F447" s="1"/>
      <c r="G447" s="6"/>
      <c r="H447" s="45"/>
      <c r="I447" s="259"/>
    </row>
    <row r="448" ht="12.75">
      <c r="G448"/>
    </row>
    <row r="449" ht="12.75">
      <c r="G449"/>
    </row>
    <row r="450" ht="12.75">
      <c r="G450"/>
    </row>
    <row r="451" spans="2:18" ht="12.75">
      <c r="B451" s="6"/>
      <c r="C451" s="6"/>
      <c r="E451" s="1"/>
      <c r="F451" s="1"/>
      <c r="G451" s="1"/>
      <c r="H451" s="1"/>
      <c r="I451" s="1"/>
      <c r="J451" s="1"/>
      <c r="K451" s="1"/>
      <c r="L451" s="1"/>
      <c r="M451" s="1"/>
      <c r="N451" s="1"/>
      <c r="O451" s="1"/>
      <c r="P451" s="1"/>
      <c r="Q451" s="1"/>
      <c r="R451" s="1"/>
    </row>
    <row r="452" spans="2:7" ht="12.75">
      <c r="B452" s="6" t="s">
        <v>207</v>
      </c>
      <c r="C452" s="257">
        <v>0.0137</v>
      </c>
      <c r="G452"/>
    </row>
    <row r="453" spans="2:17" ht="12.75">
      <c r="B453" s="6" t="s">
        <v>208</v>
      </c>
      <c r="C453" s="257">
        <v>1.0023</v>
      </c>
      <c r="D453" t="s">
        <v>209</v>
      </c>
      <c r="G453"/>
      <c r="H453" t="s">
        <v>210</v>
      </c>
      <c r="K453" t="s">
        <v>210</v>
      </c>
      <c r="N453" t="s">
        <v>210</v>
      </c>
      <c r="Q453" t="s">
        <v>210</v>
      </c>
    </row>
    <row r="454" spans="2:18" ht="12.75">
      <c r="B454" s="6">
        <v>1</v>
      </c>
      <c r="C454" s="257">
        <f aca="true" t="shared" si="66" ref="C454:C479">+($C$452+C453)*$C$453</f>
        <v>1.0183368</v>
      </c>
      <c r="D454">
        <f>F4*C454</f>
        <v>61.100207999999995</v>
      </c>
      <c r="G454"/>
      <c r="H454">
        <f>+H16*$C454</f>
        <v>0</v>
      </c>
      <c r="I454" s="5" t="str">
        <f>+I16</f>
        <v>see delay</v>
      </c>
      <c r="K454">
        <f>+K16*$C454</f>
        <v>0</v>
      </c>
      <c r="L454" s="5" t="str">
        <f>+L16</f>
        <v>see delay</v>
      </c>
      <c r="N454">
        <f>+N16*$C454</f>
        <v>0</v>
      </c>
      <c r="O454" s="5" t="str">
        <f>+O16</f>
        <v>see delay</v>
      </c>
      <c r="Q454">
        <f>+Q16*$C454</f>
        <v>0</v>
      </c>
      <c r="R454" s="5" t="str">
        <f>+R16</f>
        <v>see delay</v>
      </c>
    </row>
    <row r="455" spans="2:18" ht="12.75">
      <c r="B455" s="6">
        <v>2</v>
      </c>
      <c r="C455" s="257">
        <f t="shared" si="66"/>
        <v>1.03441048464</v>
      </c>
      <c r="D455">
        <f>F5*C455</f>
        <v>0</v>
      </c>
      <c r="G455"/>
      <c r="H455">
        <f>+H17*$C455</f>
        <v>0</v>
      </c>
      <c r="I455">
        <f>+I17*$C455</f>
        <v>0</v>
      </c>
      <c r="K455">
        <f>+K17*$C455</f>
        <v>0</v>
      </c>
      <c r="L455">
        <f>+L17*$C455</f>
        <v>0</v>
      </c>
      <c r="N455">
        <f>+N17*$C455</f>
        <v>0</v>
      </c>
      <c r="O455">
        <f>+O17*$C455</f>
        <v>0</v>
      </c>
      <c r="Q455">
        <f>+Q17*$C455</f>
        <v>0</v>
      </c>
      <c r="R455">
        <f>+R17*$C455</f>
        <v>0</v>
      </c>
    </row>
    <row r="456" spans="2:18" ht="12.75">
      <c r="B456" s="6">
        <v>3</v>
      </c>
      <c r="C456" s="257">
        <f t="shared" si="66"/>
        <v>1.050521138754672</v>
      </c>
      <c r="D456">
        <f>F6*C456</f>
        <v>0</v>
      </c>
      <c r="G456"/>
      <c r="H456">
        <f>+H18*$C456</f>
        <v>0</v>
      </c>
      <c r="I456">
        <f>+I18*$C456</f>
        <v>0</v>
      </c>
      <c r="K456">
        <f>+K18*$C456</f>
        <v>0</v>
      </c>
      <c r="L456">
        <f>+L18*$C456</f>
        <v>0</v>
      </c>
      <c r="N456">
        <f>+N18*$C456</f>
        <v>0</v>
      </c>
      <c r="O456">
        <f>+O18*$C456</f>
        <v>0</v>
      </c>
      <c r="Q456">
        <f>+Q18*$C456</f>
        <v>0</v>
      </c>
      <c r="R456">
        <f>+R18*$C456</f>
        <v>0</v>
      </c>
    </row>
    <row r="457" spans="2:18" ht="12.75">
      <c r="B457" s="6">
        <v>4</v>
      </c>
      <c r="C457" s="257">
        <f t="shared" si="66"/>
        <v>1.0666688473738077</v>
      </c>
      <c r="D457">
        <f>E8*C457</f>
        <v>1.0666688473738077</v>
      </c>
      <c r="G457"/>
      <c r="H457">
        <f>+H19*$C457</f>
        <v>0</v>
      </c>
      <c r="I457">
        <f>+I19*$C457</f>
        <v>0</v>
      </c>
      <c r="K457">
        <f>+K19*$C457</f>
        <v>0</v>
      </c>
      <c r="L457">
        <f>+L19*$C457</f>
        <v>0</v>
      </c>
      <c r="N457">
        <f>+N19*$C457</f>
        <v>0</v>
      </c>
      <c r="O457">
        <f>+O19*$C457</f>
        <v>0</v>
      </c>
      <c r="Q457">
        <f>+Q19*$C457</f>
        <v>0</v>
      </c>
      <c r="R457">
        <f>+R19*$C457</f>
        <v>0</v>
      </c>
    </row>
    <row r="458" spans="2:18" ht="12.75">
      <c r="B458" s="6">
        <v>5</v>
      </c>
      <c r="C458" s="257">
        <f t="shared" si="66"/>
        <v>1.0828536957227675</v>
      </c>
      <c r="D458">
        <f>F8*C458</f>
        <v>0</v>
      </c>
      <c r="G458"/>
      <c r="H458" s="5" t="str">
        <f>H20</f>
        <v>threshold</v>
      </c>
      <c r="I458" s="5" t="str">
        <f>I20</f>
        <v>range</v>
      </c>
      <c r="K458" s="5" t="str">
        <f>K20</f>
        <v>threshold</v>
      </c>
      <c r="L458" s="5" t="str">
        <f>L20</f>
        <v>range</v>
      </c>
      <c r="N458" s="5" t="str">
        <f>N20</f>
        <v>threshold</v>
      </c>
      <c r="O458" s="5" t="str">
        <f>O20</f>
        <v>range</v>
      </c>
      <c r="Q458" s="5" t="str">
        <f>Q20</f>
        <v>threshold</v>
      </c>
      <c r="R458" s="5" t="str">
        <f>R20</f>
        <v>range</v>
      </c>
    </row>
    <row r="459" spans="2:18" ht="12.75">
      <c r="B459" s="6">
        <v>6</v>
      </c>
      <c r="C459" s="257">
        <f t="shared" si="66"/>
        <v>1.0990757692229298</v>
      </c>
      <c r="D459">
        <f>F9*C459</f>
        <v>11.859027549915412</v>
      </c>
      <c r="G459"/>
      <c r="H459">
        <f aca="true" t="shared" si="67" ref="H459:I461">+H21*$C459</f>
        <v>0</v>
      </c>
      <c r="I459">
        <f t="shared" si="67"/>
        <v>0</v>
      </c>
      <c r="K459">
        <f aca="true" t="shared" si="68" ref="K459:L461">+K21*$C459</f>
        <v>0</v>
      </c>
      <c r="L459">
        <f t="shared" si="68"/>
        <v>0</v>
      </c>
      <c r="N459">
        <f aca="true" t="shared" si="69" ref="N459:O461">+N21*$C459</f>
        <v>0</v>
      </c>
      <c r="O459">
        <f t="shared" si="69"/>
        <v>0</v>
      </c>
      <c r="Q459">
        <f aca="true" t="shared" si="70" ref="Q459:R461">+Q21*$C459</f>
        <v>0</v>
      </c>
      <c r="R459">
        <f t="shared" si="70"/>
        <v>0</v>
      </c>
    </row>
    <row r="460" spans="2:18" ht="12.75">
      <c r="B460" s="6">
        <v>7</v>
      </c>
      <c r="C460" s="257">
        <f t="shared" si="66"/>
        <v>1.1153351534921425</v>
      </c>
      <c r="D460">
        <f>F10*C460</f>
        <v>1.1153351534921425</v>
      </c>
      <c r="G460"/>
      <c r="H460">
        <f t="shared" si="67"/>
        <v>0</v>
      </c>
      <c r="I460">
        <f t="shared" si="67"/>
        <v>0</v>
      </c>
      <c r="K460">
        <f t="shared" si="68"/>
        <v>0</v>
      </c>
      <c r="L460">
        <f t="shared" si="68"/>
        <v>0</v>
      </c>
      <c r="N460">
        <f t="shared" si="69"/>
        <v>0</v>
      </c>
      <c r="O460">
        <f t="shared" si="69"/>
        <v>0</v>
      </c>
      <c r="Q460">
        <f t="shared" si="70"/>
        <v>0</v>
      </c>
      <c r="R460">
        <f t="shared" si="70"/>
        <v>0</v>
      </c>
    </row>
    <row r="461" spans="2:18" ht="12.75">
      <c r="B461" s="6">
        <v>8</v>
      </c>
      <c r="C461" s="257">
        <f t="shared" si="66"/>
        <v>1.1316319343451744</v>
      </c>
      <c r="D461">
        <f>F11*C461</f>
        <v>0</v>
      </c>
      <c r="G461"/>
      <c r="H461">
        <f t="shared" si="67"/>
        <v>0</v>
      </c>
      <c r="I461">
        <f t="shared" si="67"/>
        <v>0</v>
      </c>
      <c r="K461">
        <f t="shared" si="68"/>
        <v>0</v>
      </c>
      <c r="L461">
        <f t="shared" si="68"/>
        <v>0</v>
      </c>
      <c r="N461">
        <f t="shared" si="69"/>
        <v>0</v>
      </c>
      <c r="O461">
        <f t="shared" si="69"/>
        <v>0</v>
      </c>
      <c r="Q461">
        <f t="shared" si="70"/>
        <v>0</v>
      </c>
      <c r="R461">
        <f t="shared" si="70"/>
        <v>0</v>
      </c>
    </row>
    <row r="462" spans="2:18" ht="12.75">
      <c r="B462" s="6">
        <v>9</v>
      </c>
      <c r="C462" s="257">
        <f t="shared" si="66"/>
        <v>1.1479661977941682</v>
      </c>
      <c r="D462">
        <f>$E8*C462</f>
        <v>1.1479661977941682</v>
      </c>
      <c r="G462"/>
      <c r="H462" s="5" t="str">
        <f>H24</f>
        <v>threshold</v>
      </c>
      <c r="I462" s="5" t="str">
        <f>I24</f>
        <v>range</v>
      </c>
      <c r="K462" s="5" t="str">
        <f>K24</f>
        <v>threshold</v>
      </c>
      <c r="L462" s="5" t="str">
        <f>L24</f>
        <v>range</v>
      </c>
      <c r="N462" s="5" t="str">
        <f>N24</f>
        <v>threshold</v>
      </c>
      <c r="O462" s="5" t="str">
        <f>O24</f>
        <v>range</v>
      </c>
      <c r="Q462" s="5" t="str">
        <f>Q24</f>
        <v>threshold</v>
      </c>
      <c r="R462" s="5" t="str">
        <f>R24</f>
        <v>range</v>
      </c>
    </row>
    <row r="463" spans="2:18" ht="12.75">
      <c r="B463" s="6">
        <v>10</v>
      </c>
      <c r="C463" s="257">
        <f t="shared" si="66"/>
        <v>1.1643380300490949</v>
      </c>
      <c r="D463">
        <f>$E9*C463</f>
        <v>12.563207344229733</v>
      </c>
      <c r="G463"/>
      <c r="H463">
        <f aca="true" t="shared" si="71" ref="H463:I472">+H25*$C463</f>
        <v>0</v>
      </c>
      <c r="I463">
        <f t="shared" si="71"/>
        <v>0</v>
      </c>
      <c r="K463">
        <f aca="true" t="shared" si="72" ref="K463:L472">+K25*$C463</f>
        <v>0</v>
      </c>
      <c r="L463">
        <f t="shared" si="72"/>
        <v>0</v>
      </c>
      <c r="N463">
        <f aca="true" t="shared" si="73" ref="N463:O472">+N25*$C463</f>
        <v>0</v>
      </c>
      <c r="O463">
        <f t="shared" si="73"/>
        <v>0</v>
      </c>
      <c r="Q463">
        <f aca="true" t="shared" si="74" ref="Q463:R472">+Q25*$C463</f>
        <v>0</v>
      </c>
      <c r="R463">
        <f t="shared" si="74"/>
        <v>0</v>
      </c>
    </row>
    <row r="464" spans="2:18" ht="12.75">
      <c r="B464" s="6">
        <v>11</v>
      </c>
      <c r="C464" s="257">
        <f t="shared" si="66"/>
        <v>1.1807475175182078</v>
      </c>
      <c r="D464">
        <f>$E10*C464</f>
        <v>0.35422425525546236</v>
      </c>
      <c r="G464"/>
      <c r="H464">
        <f t="shared" si="71"/>
        <v>0</v>
      </c>
      <c r="I464">
        <f t="shared" si="71"/>
        <v>0</v>
      </c>
      <c r="K464">
        <f t="shared" si="72"/>
        <v>0</v>
      </c>
      <c r="L464">
        <f t="shared" si="72"/>
        <v>0</v>
      </c>
      <c r="N464">
        <f t="shared" si="73"/>
        <v>0</v>
      </c>
      <c r="O464">
        <f t="shared" si="73"/>
        <v>0</v>
      </c>
      <c r="Q464">
        <f t="shared" si="74"/>
        <v>0</v>
      </c>
      <c r="R464">
        <f t="shared" si="74"/>
        <v>0</v>
      </c>
    </row>
    <row r="465" spans="2:18" ht="12.75">
      <c r="B465" s="6">
        <v>12</v>
      </c>
      <c r="C465" s="257">
        <f t="shared" si="66"/>
        <v>1.1971947468084998</v>
      </c>
      <c r="D465" s="2">
        <f>$E11*C465</f>
        <v>0</v>
      </c>
      <c r="G465"/>
      <c r="H465">
        <f t="shared" si="71"/>
        <v>0</v>
      </c>
      <c r="I465">
        <f t="shared" si="71"/>
        <v>0</v>
      </c>
      <c r="K465">
        <f t="shared" si="72"/>
        <v>0</v>
      </c>
      <c r="L465">
        <f t="shared" si="72"/>
        <v>0</v>
      </c>
      <c r="N465">
        <f t="shared" si="73"/>
        <v>0</v>
      </c>
      <c r="O465">
        <f t="shared" si="73"/>
        <v>0</v>
      </c>
      <c r="Q465">
        <f t="shared" si="74"/>
        <v>0</v>
      </c>
      <c r="R465">
        <f t="shared" si="74"/>
        <v>0</v>
      </c>
    </row>
    <row r="466" spans="2:18" ht="12.75">
      <c r="B466" s="6">
        <v>13</v>
      </c>
      <c r="C466" s="257">
        <f t="shared" si="66"/>
        <v>1.2136798047261594</v>
      </c>
      <c r="D466">
        <f>SUM(D454:D465)</f>
        <v>89.20663734806071</v>
      </c>
      <c r="G466"/>
      <c r="H466">
        <f t="shared" si="71"/>
        <v>0</v>
      </c>
      <c r="I466">
        <f t="shared" si="71"/>
        <v>0</v>
      </c>
      <c r="K466">
        <f t="shared" si="72"/>
        <v>0</v>
      </c>
      <c r="L466">
        <f t="shared" si="72"/>
        <v>0</v>
      </c>
      <c r="N466">
        <f t="shared" si="73"/>
        <v>0</v>
      </c>
      <c r="O466">
        <f t="shared" si="73"/>
        <v>0</v>
      </c>
      <c r="Q466">
        <f t="shared" si="74"/>
        <v>0</v>
      </c>
      <c r="R466">
        <f t="shared" si="74"/>
        <v>0</v>
      </c>
    </row>
    <row r="467" spans="2:18" ht="12.75">
      <c r="B467" s="6">
        <v>14</v>
      </c>
      <c r="C467" s="257">
        <f t="shared" si="66"/>
        <v>1.2302027782770295</v>
      </c>
      <c r="G467"/>
      <c r="H467">
        <f t="shared" si="71"/>
        <v>0</v>
      </c>
      <c r="I467">
        <f t="shared" si="71"/>
        <v>0</v>
      </c>
      <c r="K467">
        <f t="shared" si="72"/>
        <v>0</v>
      </c>
      <c r="L467">
        <f t="shared" si="72"/>
        <v>0</v>
      </c>
      <c r="N467">
        <f t="shared" si="73"/>
        <v>0</v>
      </c>
      <c r="O467">
        <f t="shared" si="73"/>
        <v>0</v>
      </c>
      <c r="Q467">
        <f t="shared" si="74"/>
        <v>0</v>
      </c>
      <c r="R467">
        <f t="shared" si="74"/>
        <v>0</v>
      </c>
    </row>
    <row r="468" spans="2:18" ht="12.75">
      <c r="B468" s="6">
        <v>15</v>
      </c>
      <c r="C468" s="257">
        <f t="shared" si="66"/>
        <v>1.2467637546670667</v>
      </c>
      <c r="G468"/>
      <c r="H468">
        <f t="shared" si="71"/>
        <v>0</v>
      </c>
      <c r="I468">
        <f t="shared" si="71"/>
        <v>0</v>
      </c>
      <c r="K468">
        <f t="shared" si="72"/>
        <v>0</v>
      </c>
      <c r="L468">
        <f t="shared" si="72"/>
        <v>0</v>
      </c>
      <c r="N468">
        <f t="shared" si="73"/>
        <v>0</v>
      </c>
      <c r="O468">
        <f t="shared" si="73"/>
        <v>0</v>
      </c>
      <c r="Q468">
        <f t="shared" si="74"/>
        <v>0</v>
      </c>
      <c r="R468">
        <f t="shared" si="74"/>
        <v>0</v>
      </c>
    </row>
    <row r="469" spans="2:18" ht="12.75">
      <c r="B469" s="6">
        <v>16</v>
      </c>
      <c r="C469" s="257">
        <f t="shared" si="66"/>
        <v>1.263362821302801</v>
      </c>
      <c r="G469"/>
      <c r="H469">
        <f t="shared" si="71"/>
        <v>0</v>
      </c>
      <c r="I469">
        <f t="shared" si="71"/>
        <v>0</v>
      </c>
      <c r="K469">
        <f t="shared" si="72"/>
        <v>0</v>
      </c>
      <c r="L469">
        <f t="shared" si="72"/>
        <v>0</v>
      </c>
      <c r="N469">
        <f t="shared" si="73"/>
        <v>0</v>
      </c>
      <c r="O469">
        <f t="shared" si="73"/>
        <v>0</v>
      </c>
      <c r="Q469">
        <f t="shared" si="74"/>
        <v>0</v>
      </c>
      <c r="R469">
        <f t="shared" si="74"/>
        <v>0</v>
      </c>
    </row>
    <row r="470" spans="2:18" ht="12.75">
      <c r="B470" s="6">
        <v>17</v>
      </c>
      <c r="C470" s="257">
        <f t="shared" si="66"/>
        <v>1.2800000657917974</v>
      </c>
      <c r="G470"/>
      <c r="H470">
        <f t="shared" si="71"/>
        <v>0</v>
      </c>
      <c r="I470">
        <f t="shared" si="71"/>
        <v>0</v>
      </c>
      <c r="K470">
        <f t="shared" si="72"/>
        <v>0</v>
      </c>
      <c r="L470">
        <f t="shared" si="72"/>
        <v>0</v>
      </c>
      <c r="N470">
        <f t="shared" si="73"/>
        <v>0</v>
      </c>
      <c r="O470">
        <f t="shared" si="73"/>
        <v>0</v>
      </c>
      <c r="Q470">
        <f t="shared" si="74"/>
        <v>0</v>
      </c>
      <c r="R470">
        <f t="shared" si="74"/>
        <v>0</v>
      </c>
    </row>
    <row r="471" spans="2:18" ht="12.75">
      <c r="B471" s="6">
        <v>18</v>
      </c>
      <c r="C471" s="257">
        <f t="shared" si="66"/>
        <v>1.2966755759431186</v>
      </c>
      <c r="G471"/>
      <c r="H471">
        <f t="shared" si="71"/>
        <v>0</v>
      </c>
      <c r="I471">
        <f t="shared" si="71"/>
        <v>0</v>
      </c>
      <c r="K471">
        <f t="shared" si="72"/>
        <v>0</v>
      </c>
      <c r="L471">
        <f t="shared" si="72"/>
        <v>0</v>
      </c>
      <c r="N471">
        <f t="shared" si="73"/>
        <v>0</v>
      </c>
      <c r="O471">
        <f t="shared" si="73"/>
        <v>0</v>
      </c>
      <c r="Q471">
        <f t="shared" si="74"/>
        <v>0</v>
      </c>
      <c r="R471">
        <f t="shared" si="74"/>
        <v>0</v>
      </c>
    </row>
    <row r="472" spans="2:18" ht="12.75">
      <c r="B472" s="6">
        <v>19</v>
      </c>
      <c r="C472" s="257">
        <f t="shared" si="66"/>
        <v>1.3133894397677877</v>
      </c>
      <c r="G472"/>
      <c r="H472">
        <f t="shared" si="71"/>
        <v>0</v>
      </c>
      <c r="I472">
        <f t="shared" si="71"/>
        <v>0</v>
      </c>
      <c r="K472">
        <f t="shared" si="72"/>
        <v>0</v>
      </c>
      <c r="L472">
        <f t="shared" si="72"/>
        <v>0</v>
      </c>
      <c r="N472">
        <f t="shared" si="73"/>
        <v>0</v>
      </c>
      <c r="O472">
        <f t="shared" si="73"/>
        <v>0</v>
      </c>
      <c r="Q472">
        <f t="shared" si="74"/>
        <v>0</v>
      </c>
      <c r="R472">
        <f t="shared" si="74"/>
        <v>0</v>
      </c>
    </row>
    <row r="473" spans="2:18" ht="12.75">
      <c r="B473" s="6">
        <v>20</v>
      </c>
      <c r="C473" s="257">
        <f t="shared" si="66"/>
        <v>1.3301417454792537</v>
      </c>
      <c r="G473"/>
      <c r="H473" s="5" t="str">
        <f>+H35</f>
        <v>cars</v>
      </c>
      <c r="I473" s="5" t="str">
        <f>+I35</f>
        <v>trucks</v>
      </c>
      <c r="K473" s="5" t="s">
        <v>13</v>
      </c>
      <c r="L473" s="5" t="str">
        <f>+L35</f>
        <v>trucks</v>
      </c>
      <c r="N473" s="5" t="s">
        <v>13</v>
      </c>
      <c r="O473" s="5" t="str">
        <f>+O35</f>
        <v>trucks</v>
      </c>
      <c r="Q473" s="5" t="s">
        <v>13</v>
      </c>
      <c r="R473" s="5" t="str">
        <f>+R35</f>
        <v>trucks</v>
      </c>
    </row>
    <row r="474" spans="2:18" ht="12.75">
      <c r="B474" s="6">
        <v>21</v>
      </c>
      <c r="C474" s="257">
        <f t="shared" si="66"/>
        <v>1.346932581493856</v>
      </c>
      <c r="G474"/>
      <c r="H474">
        <f>+H36*$C474</f>
        <v>0</v>
      </c>
      <c r="I474">
        <f>+I36*$C474</f>
        <v>0</v>
      </c>
      <c r="K474">
        <f>+K36*$C474</f>
        <v>0</v>
      </c>
      <c r="L474">
        <f>+L36*$C474</f>
        <v>0</v>
      </c>
      <c r="N474">
        <f>+N36*$C474</f>
        <v>0</v>
      </c>
      <c r="O474">
        <f>+O36*$C474</f>
        <v>0</v>
      </c>
      <c r="Q474">
        <f>+Q36*$C474</f>
        <v>0</v>
      </c>
      <c r="R474">
        <f>+R36*$C474</f>
        <v>0</v>
      </c>
    </row>
    <row r="475" spans="2:18" ht="12.75">
      <c r="B475" s="6">
        <v>22</v>
      </c>
      <c r="C475" s="257">
        <f t="shared" si="66"/>
        <v>1.363762036431292</v>
      </c>
      <c r="G475"/>
      <c r="H475">
        <f>+H37*$C475</f>
        <v>0</v>
      </c>
      <c r="I475">
        <f>+I37*$C475</f>
        <v>0</v>
      </c>
      <c r="K475">
        <f>+K37*$C475</f>
        <v>0</v>
      </c>
      <c r="L475">
        <f>+L37*$C475</f>
        <v>0</v>
      </c>
      <c r="N475">
        <f>+N37*$C475</f>
        <v>0</v>
      </c>
      <c r="O475">
        <f>+O37*$C475</f>
        <v>0</v>
      </c>
      <c r="Q475">
        <f>+Q37*$C475</f>
        <v>0</v>
      </c>
      <c r="R475">
        <f>+R37*$C475</f>
        <v>0</v>
      </c>
    </row>
    <row r="476" spans="2:18" ht="12.75">
      <c r="B476" s="6">
        <v>23</v>
      </c>
      <c r="C476" s="257">
        <f t="shared" si="66"/>
        <v>1.3806301991150838</v>
      </c>
      <c r="G476"/>
      <c r="H476" s="2">
        <f>SUM(H454:H475)</f>
        <v>0</v>
      </c>
      <c r="I476" s="2">
        <f>SUM(I454:I475)</f>
        <v>0</v>
      </c>
      <c r="J476" s="2"/>
      <c r="K476" s="2">
        <f>SUM(K454:K475)</f>
        <v>0</v>
      </c>
      <c r="L476" s="2">
        <f>SUM(L454:L475)</f>
        <v>0</v>
      </c>
      <c r="M476" s="2"/>
      <c r="N476" s="2">
        <f>SUM(N454:N475)</f>
        <v>0</v>
      </c>
      <c r="O476" s="2">
        <f>SUM(O454:O475)</f>
        <v>0</v>
      </c>
      <c r="P476" s="2"/>
      <c r="Q476" s="2">
        <f>SUM(Q454:Q475)</f>
        <v>0</v>
      </c>
      <c r="R476" s="2">
        <f>SUM(R454:R475)</f>
        <v>0</v>
      </c>
    </row>
    <row r="477" spans="2:18" ht="12.75">
      <c r="B477" s="6">
        <v>24</v>
      </c>
      <c r="C477" s="257">
        <f t="shared" si="66"/>
        <v>1.3975371585730485</v>
      </c>
      <c r="G477"/>
      <c r="H477">
        <f>H476+I476</f>
        <v>0</v>
      </c>
      <c r="I477">
        <f>H476+I476</f>
        <v>0</v>
      </c>
      <c r="K477">
        <f>K476+L476</f>
        <v>0</v>
      </c>
      <c r="L477">
        <f>K476+L476</f>
        <v>0</v>
      </c>
      <c r="N477">
        <f>N476+O476</f>
        <v>0</v>
      </c>
      <c r="O477">
        <f>N476+O476</f>
        <v>0</v>
      </c>
      <c r="Q477">
        <f>Q476+R476</f>
        <v>0</v>
      </c>
      <c r="R477">
        <f>Q476+R476</f>
        <v>0</v>
      </c>
    </row>
    <row r="478" spans="2:7" ht="12.75">
      <c r="B478" s="6">
        <v>25</v>
      </c>
      <c r="C478" s="257">
        <f t="shared" si="66"/>
        <v>1.4144830040377665</v>
      </c>
      <c r="G478"/>
    </row>
    <row r="479" spans="2:18" ht="12.75">
      <c r="B479" s="6">
        <v>26</v>
      </c>
      <c r="C479" s="257">
        <f t="shared" si="66"/>
        <v>1.4314678249470534</v>
      </c>
      <c r="G479"/>
      <c r="H479" s="11" t="s">
        <v>211</v>
      </c>
      <c r="I479" s="11"/>
      <c r="K479" s="11" t="s">
        <v>211</v>
      </c>
      <c r="L479" s="11"/>
      <c r="N479" s="11" t="s">
        <v>211</v>
      </c>
      <c r="O479" s="11"/>
      <c r="Q479" s="11" t="s">
        <v>211</v>
      </c>
      <c r="R479" s="11"/>
    </row>
    <row r="480" spans="8:18" ht="12.75">
      <c r="H480" s="5">
        <f>H40</f>
        <v>0</v>
      </c>
      <c r="I480" s="5">
        <f>I40</f>
        <v>0</v>
      </c>
      <c r="K480" s="5">
        <f>K40</f>
        <v>0</v>
      </c>
      <c r="L480" s="5">
        <f>L40</f>
        <v>0</v>
      </c>
      <c r="N480" s="5">
        <f>N40</f>
        <v>0</v>
      </c>
      <c r="O480" s="5">
        <f>O40</f>
        <v>0</v>
      </c>
      <c r="Q480" s="5">
        <f>Q40</f>
        <v>0</v>
      </c>
      <c r="R480" s="5">
        <f>R40</f>
        <v>0</v>
      </c>
    </row>
    <row r="482" spans="4:18" ht="12.75">
      <c r="D482" s="11" t="s">
        <v>212</v>
      </c>
      <c r="E482" s="11"/>
      <c r="H482" s="11" t="s">
        <v>213</v>
      </c>
      <c r="I482" s="11"/>
      <c r="K482" s="11" t="s">
        <v>213</v>
      </c>
      <c r="L482" s="11"/>
      <c r="N482" s="11" t="s">
        <v>213</v>
      </c>
      <c r="O482" s="11"/>
      <c r="Q482" s="11" t="s">
        <v>213</v>
      </c>
      <c r="R482" s="11"/>
    </row>
    <row r="483" spans="3:18" ht="12.75">
      <c r="C483">
        <f aca="true" t="shared" si="75" ref="C483:C506">B454</f>
        <v>1</v>
      </c>
      <c r="D483">
        <f aca="true" t="shared" si="76" ref="D483:E506">C44*$C454</f>
        <v>0</v>
      </c>
      <c r="E483">
        <f t="shared" si="76"/>
        <v>0</v>
      </c>
      <c r="H483">
        <f aca="true" t="shared" si="77" ref="H483:I506">H44*$C454</f>
        <v>0</v>
      </c>
      <c r="I483">
        <f t="shared" si="77"/>
        <v>0</v>
      </c>
      <c r="K483">
        <f aca="true" t="shared" si="78" ref="K483:L506">K44*$C454</f>
        <v>0</v>
      </c>
      <c r="L483">
        <f t="shared" si="78"/>
        <v>0</v>
      </c>
      <c r="N483">
        <f aca="true" t="shared" si="79" ref="N483:O506">N44*$C454</f>
        <v>0</v>
      </c>
      <c r="O483">
        <f t="shared" si="79"/>
        <v>0</v>
      </c>
      <c r="Q483">
        <f aca="true" t="shared" si="80" ref="Q483:R506">Q44*$C454</f>
        <v>0</v>
      </c>
      <c r="R483">
        <f t="shared" si="80"/>
        <v>0</v>
      </c>
    </row>
    <row r="484" spans="3:18" ht="12.75">
      <c r="C484">
        <f t="shared" si="75"/>
        <v>2</v>
      </c>
      <c r="D484">
        <f t="shared" si="76"/>
        <v>0</v>
      </c>
      <c r="E484">
        <f t="shared" si="76"/>
        <v>0</v>
      </c>
      <c r="H484">
        <f t="shared" si="77"/>
        <v>0</v>
      </c>
      <c r="I484">
        <f t="shared" si="77"/>
        <v>0</v>
      </c>
      <c r="K484">
        <f t="shared" si="78"/>
        <v>0</v>
      </c>
      <c r="L484">
        <f t="shared" si="78"/>
        <v>0</v>
      </c>
      <c r="N484">
        <f t="shared" si="79"/>
        <v>0</v>
      </c>
      <c r="O484">
        <f t="shared" si="79"/>
        <v>0</v>
      </c>
      <c r="Q484">
        <f t="shared" si="80"/>
        <v>0</v>
      </c>
      <c r="R484">
        <f t="shared" si="80"/>
        <v>0</v>
      </c>
    </row>
    <row r="485" spans="3:18" ht="12.75">
      <c r="C485">
        <f t="shared" si="75"/>
        <v>3</v>
      </c>
      <c r="D485">
        <f t="shared" si="76"/>
        <v>0</v>
      </c>
      <c r="E485">
        <f t="shared" si="76"/>
        <v>0</v>
      </c>
      <c r="H485">
        <f t="shared" si="77"/>
        <v>0</v>
      </c>
      <c r="I485">
        <f t="shared" si="77"/>
        <v>0</v>
      </c>
      <c r="K485">
        <f t="shared" si="78"/>
        <v>0</v>
      </c>
      <c r="L485">
        <f t="shared" si="78"/>
        <v>0</v>
      </c>
      <c r="N485">
        <f t="shared" si="79"/>
        <v>0</v>
      </c>
      <c r="O485">
        <f t="shared" si="79"/>
        <v>0</v>
      </c>
      <c r="Q485">
        <f t="shared" si="80"/>
        <v>0</v>
      </c>
      <c r="R485">
        <f t="shared" si="80"/>
        <v>0</v>
      </c>
    </row>
    <row r="486" spans="3:18" ht="12.75">
      <c r="C486">
        <f t="shared" si="75"/>
        <v>4</v>
      </c>
      <c r="D486">
        <f t="shared" si="76"/>
        <v>0</v>
      </c>
      <c r="E486">
        <f t="shared" si="76"/>
        <v>0</v>
      </c>
      <c r="H486">
        <f t="shared" si="77"/>
        <v>0</v>
      </c>
      <c r="I486">
        <f t="shared" si="77"/>
        <v>0</v>
      </c>
      <c r="K486">
        <f t="shared" si="78"/>
        <v>0</v>
      </c>
      <c r="L486">
        <f t="shared" si="78"/>
        <v>0</v>
      </c>
      <c r="N486">
        <f t="shared" si="79"/>
        <v>0</v>
      </c>
      <c r="O486">
        <f t="shared" si="79"/>
        <v>0</v>
      </c>
      <c r="Q486">
        <f t="shared" si="80"/>
        <v>0</v>
      </c>
      <c r="R486">
        <f t="shared" si="80"/>
        <v>0</v>
      </c>
    </row>
    <row r="487" spans="3:18" ht="12.75">
      <c r="C487">
        <f t="shared" si="75"/>
        <v>5</v>
      </c>
      <c r="D487">
        <f t="shared" si="76"/>
        <v>0</v>
      </c>
      <c r="E487">
        <f t="shared" si="76"/>
        <v>0</v>
      </c>
      <c r="H487">
        <f t="shared" si="77"/>
        <v>0</v>
      </c>
      <c r="I487">
        <f t="shared" si="77"/>
        <v>0</v>
      </c>
      <c r="K487">
        <f t="shared" si="78"/>
        <v>0</v>
      </c>
      <c r="L487">
        <f t="shared" si="78"/>
        <v>0</v>
      </c>
      <c r="N487">
        <f t="shared" si="79"/>
        <v>0</v>
      </c>
      <c r="O487">
        <f t="shared" si="79"/>
        <v>0</v>
      </c>
      <c r="Q487">
        <f t="shared" si="80"/>
        <v>0</v>
      </c>
      <c r="R487">
        <f t="shared" si="80"/>
        <v>0</v>
      </c>
    </row>
    <row r="488" spans="3:18" ht="12.75">
      <c r="C488">
        <f t="shared" si="75"/>
        <v>6</v>
      </c>
      <c r="D488">
        <f t="shared" si="76"/>
        <v>0</v>
      </c>
      <c r="E488">
        <f t="shared" si="76"/>
        <v>0</v>
      </c>
      <c r="H488">
        <f t="shared" si="77"/>
        <v>0</v>
      </c>
      <c r="I488">
        <f t="shared" si="77"/>
        <v>0</v>
      </c>
      <c r="K488">
        <f t="shared" si="78"/>
        <v>0</v>
      </c>
      <c r="L488">
        <f t="shared" si="78"/>
        <v>0</v>
      </c>
      <c r="N488">
        <f t="shared" si="79"/>
        <v>0</v>
      </c>
      <c r="O488">
        <f t="shared" si="79"/>
        <v>0</v>
      </c>
      <c r="Q488">
        <f t="shared" si="80"/>
        <v>0</v>
      </c>
      <c r="R488">
        <f t="shared" si="80"/>
        <v>0</v>
      </c>
    </row>
    <row r="489" spans="3:18" ht="12.75">
      <c r="C489">
        <f t="shared" si="75"/>
        <v>7</v>
      </c>
      <c r="D489">
        <f t="shared" si="76"/>
        <v>0</v>
      </c>
      <c r="E489">
        <f t="shared" si="76"/>
        <v>0</v>
      </c>
      <c r="H489">
        <f t="shared" si="77"/>
        <v>0</v>
      </c>
      <c r="I489">
        <f t="shared" si="77"/>
        <v>0</v>
      </c>
      <c r="K489">
        <f t="shared" si="78"/>
        <v>0</v>
      </c>
      <c r="L489">
        <f t="shared" si="78"/>
        <v>0</v>
      </c>
      <c r="N489">
        <f t="shared" si="79"/>
        <v>0</v>
      </c>
      <c r="O489">
        <f t="shared" si="79"/>
        <v>0</v>
      </c>
      <c r="Q489">
        <f t="shared" si="80"/>
        <v>0</v>
      </c>
      <c r="R489">
        <f t="shared" si="80"/>
        <v>0</v>
      </c>
    </row>
    <row r="490" spans="3:18" ht="12.75">
      <c r="C490">
        <f t="shared" si="75"/>
        <v>8</v>
      </c>
      <c r="D490">
        <f t="shared" si="76"/>
        <v>0</v>
      </c>
      <c r="E490">
        <f t="shared" si="76"/>
        <v>0</v>
      </c>
      <c r="H490">
        <f t="shared" si="77"/>
        <v>0</v>
      </c>
      <c r="I490">
        <f t="shared" si="77"/>
        <v>0</v>
      </c>
      <c r="K490">
        <f t="shared" si="78"/>
        <v>0</v>
      </c>
      <c r="L490">
        <f t="shared" si="78"/>
        <v>0</v>
      </c>
      <c r="N490">
        <f t="shared" si="79"/>
        <v>0</v>
      </c>
      <c r="O490">
        <f t="shared" si="79"/>
        <v>0</v>
      </c>
      <c r="Q490">
        <f t="shared" si="80"/>
        <v>0</v>
      </c>
      <c r="R490">
        <f t="shared" si="80"/>
        <v>0</v>
      </c>
    </row>
    <row r="491" spans="3:18" ht="12.75">
      <c r="C491">
        <f t="shared" si="75"/>
        <v>9</v>
      </c>
      <c r="D491">
        <f t="shared" si="76"/>
        <v>0</v>
      </c>
      <c r="E491">
        <f t="shared" si="76"/>
        <v>0</v>
      </c>
      <c r="H491">
        <f t="shared" si="77"/>
        <v>0</v>
      </c>
      <c r="I491">
        <f t="shared" si="77"/>
        <v>0</v>
      </c>
      <c r="K491">
        <f t="shared" si="78"/>
        <v>0</v>
      </c>
      <c r="L491">
        <f t="shared" si="78"/>
        <v>0</v>
      </c>
      <c r="N491">
        <f t="shared" si="79"/>
        <v>0</v>
      </c>
      <c r="O491">
        <f t="shared" si="79"/>
        <v>0</v>
      </c>
      <c r="Q491">
        <f t="shared" si="80"/>
        <v>0</v>
      </c>
      <c r="R491">
        <f t="shared" si="80"/>
        <v>0</v>
      </c>
    </row>
    <row r="492" spans="3:18" ht="12.75">
      <c r="C492">
        <f t="shared" si="75"/>
        <v>10</v>
      </c>
      <c r="D492">
        <f t="shared" si="76"/>
        <v>0</v>
      </c>
      <c r="E492">
        <f t="shared" si="76"/>
        <v>0</v>
      </c>
      <c r="H492">
        <f t="shared" si="77"/>
        <v>0</v>
      </c>
      <c r="I492">
        <f t="shared" si="77"/>
        <v>0</v>
      </c>
      <c r="K492">
        <f t="shared" si="78"/>
        <v>0</v>
      </c>
      <c r="L492">
        <f t="shared" si="78"/>
        <v>0</v>
      </c>
      <c r="N492">
        <f t="shared" si="79"/>
        <v>0</v>
      </c>
      <c r="O492">
        <f t="shared" si="79"/>
        <v>0</v>
      </c>
      <c r="Q492">
        <f t="shared" si="80"/>
        <v>0</v>
      </c>
      <c r="R492">
        <f t="shared" si="80"/>
        <v>0</v>
      </c>
    </row>
    <row r="493" spans="3:18" ht="12.75">
      <c r="C493">
        <f t="shared" si="75"/>
        <v>11</v>
      </c>
      <c r="D493">
        <f t="shared" si="76"/>
        <v>0</v>
      </c>
      <c r="E493">
        <f t="shared" si="76"/>
        <v>0</v>
      </c>
      <c r="H493">
        <f t="shared" si="77"/>
        <v>0</v>
      </c>
      <c r="I493">
        <f t="shared" si="77"/>
        <v>0</v>
      </c>
      <c r="K493">
        <f t="shared" si="78"/>
        <v>0</v>
      </c>
      <c r="L493">
        <f t="shared" si="78"/>
        <v>0</v>
      </c>
      <c r="N493">
        <f t="shared" si="79"/>
        <v>0</v>
      </c>
      <c r="O493">
        <f t="shared" si="79"/>
        <v>0</v>
      </c>
      <c r="Q493">
        <f t="shared" si="80"/>
        <v>0</v>
      </c>
      <c r="R493">
        <f t="shared" si="80"/>
        <v>0</v>
      </c>
    </row>
    <row r="494" spans="3:18" ht="12.75">
      <c r="C494">
        <f t="shared" si="75"/>
        <v>12</v>
      </c>
      <c r="D494">
        <f t="shared" si="76"/>
        <v>0</v>
      </c>
      <c r="E494">
        <f t="shared" si="76"/>
        <v>0</v>
      </c>
      <c r="H494">
        <f t="shared" si="77"/>
        <v>0</v>
      </c>
      <c r="I494">
        <f t="shared" si="77"/>
        <v>0</v>
      </c>
      <c r="K494">
        <f t="shared" si="78"/>
        <v>0</v>
      </c>
      <c r="L494">
        <f t="shared" si="78"/>
        <v>0</v>
      </c>
      <c r="N494">
        <f t="shared" si="79"/>
        <v>0</v>
      </c>
      <c r="O494">
        <f t="shared" si="79"/>
        <v>0</v>
      </c>
      <c r="Q494">
        <f t="shared" si="80"/>
        <v>0</v>
      </c>
      <c r="R494">
        <f t="shared" si="80"/>
        <v>0</v>
      </c>
    </row>
    <row r="495" spans="3:18" ht="12.75">
      <c r="C495">
        <f t="shared" si="75"/>
        <v>13</v>
      </c>
      <c r="D495">
        <f t="shared" si="76"/>
        <v>0</v>
      </c>
      <c r="E495">
        <f t="shared" si="76"/>
        <v>0</v>
      </c>
      <c r="H495">
        <f t="shared" si="77"/>
        <v>0</v>
      </c>
      <c r="I495">
        <f t="shared" si="77"/>
        <v>0</v>
      </c>
      <c r="K495">
        <f t="shared" si="78"/>
        <v>0</v>
      </c>
      <c r="L495">
        <f t="shared" si="78"/>
        <v>0</v>
      </c>
      <c r="N495">
        <f t="shared" si="79"/>
        <v>0</v>
      </c>
      <c r="O495">
        <f t="shared" si="79"/>
        <v>0</v>
      </c>
      <c r="Q495">
        <f t="shared" si="80"/>
        <v>0</v>
      </c>
      <c r="R495">
        <f t="shared" si="80"/>
        <v>0</v>
      </c>
    </row>
    <row r="496" spans="3:18" ht="12.75">
      <c r="C496">
        <f t="shared" si="75"/>
        <v>14</v>
      </c>
      <c r="D496">
        <f t="shared" si="76"/>
        <v>0</v>
      </c>
      <c r="E496">
        <f t="shared" si="76"/>
        <v>0</v>
      </c>
      <c r="H496">
        <f t="shared" si="77"/>
        <v>0</v>
      </c>
      <c r="I496">
        <f t="shared" si="77"/>
        <v>0</v>
      </c>
      <c r="K496">
        <f t="shared" si="78"/>
        <v>0</v>
      </c>
      <c r="L496">
        <f t="shared" si="78"/>
        <v>0</v>
      </c>
      <c r="N496">
        <f t="shared" si="79"/>
        <v>0</v>
      </c>
      <c r="O496">
        <f t="shared" si="79"/>
        <v>0</v>
      </c>
      <c r="Q496">
        <f t="shared" si="80"/>
        <v>0</v>
      </c>
      <c r="R496">
        <f t="shared" si="80"/>
        <v>0</v>
      </c>
    </row>
    <row r="497" spans="3:18" ht="12.75">
      <c r="C497">
        <f t="shared" si="75"/>
        <v>15</v>
      </c>
      <c r="D497">
        <f t="shared" si="76"/>
        <v>0</v>
      </c>
      <c r="E497">
        <f t="shared" si="76"/>
        <v>0</v>
      </c>
      <c r="H497">
        <f t="shared" si="77"/>
        <v>0</v>
      </c>
      <c r="I497">
        <f t="shared" si="77"/>
        <v>0</v>
      </c>
      <c r="K497">
        <f t="shared" si="78"/>
        <v>0</v>
      </c>
      <c r="L497">
        <f t="shared" si="78"/>
        <v>0</v>
      </c>
      <c r="N497">
        <f t="shared" si="79"/>
        <v>0</v>
      </c>
      <c r="O497">
        <f t="shared" si="79"/>
        <v>0</v>
      </c>
      <c r="Q497">
        <f t="shared" si="80"/>
        <v>0</v>
      </c>
      <c r="R497">
        <f t="shared" si="80"/>
        <v>0</v>
      </c>
    </row>
    <row r="498" spans="3:18" ht="12.75">
      <c r="C498">
        <f t="shared" si="75"/>
        <v>16</v>
      </c>
      <c r="D498">
        <f t="shared" si="76"/>
        <v>0</v>
      </c>
      <c r="E498">
        <f t="shared" si="76"/>
        <v>0</v>
      </c>
      <c r="H498">
        <f t="shared" si="77"/>
        <v>0</v>
      </c>
      <c r="I498">
        <f t="shared" si="77"/>
        <v>0</v>
      </c>
      <c r="K498">
        <f t="shared" si="78"/>
        <v>0</v>
      </c>
      <c r="L498">
        <f t="shared" si="78"/>
        <v>0</v>
      </c>
      <c r="N498">
        <f t="shared" si="79"/>
        <v>0</v>
      </c>
      <c r="O498">
        <f t="shared" si="79"/>
        <v>0</v>
      </c>
      <c r="Q498">
        <f t="shared" si="80"/>
        <v>0</v>
      </c>
      <c r="R498">
        <f t="shared" si="80"/>
        <v>0</v>
      </c>
    </row>
    <row r="499" spans="3:18" ht="12.75">
      <c r="C499">
        <f t="shared" si="75"/>
        <v>17</v>
      </c>
      <c r="D499">
        <f t="shared" si="76"/>
        <v>0</v>
      </c>
      <c r="E499">
        <f t="shared" si="76"/>
        <v>0</v>
      </c>
      <c r="H499">
        <f t="shared" si="77"/>
        <v>0</v>
      </c>
      <c r="I499">
        <f t="shared" si="77"/>
        <v>0</v>
      </c>
      <c r="K499">
        <f t="shared" si="78"/>
        <v>0</v>
      </c>
      <c r="L499">
        <f t="shared" si="78"/>
        <v>0</v>
      </c>
      <c r="N499">
        <f t="shared" si="79"/>
        <v>0</v>
      </c>
      <c r="O499">
        <f t="shared" si="79"/>
        <v>0</v>
      </c>
      <c r="Q499">
        <f t="shared" si="80"/>
        <v>0</v>
      </c>
      <c r="R499">
        <f t="shared" si="80"/>
        <v>0</v>
      </c>
    </row>
    <row r="500" spans="3:18" ht="12.75">
      <c r="C500">
        <f t="shared" si="75"/>
        <v>18</v>
      </c>
      <c r="D500">
        <f t="shared" si="76"/>
        <v>0</v>
      </c>
      <c r="E500">
        <f t="shared" si="76"/>
        <v>0</v>
      </c>
      <c r="H500">
        <f t="shared" si="77"/>
        <v>0</v>
      </c>
      <c r="I500">
        <f t="shared" si="77"/>
        <v>0</v>
      </c>
      <c r="K500">
        <f t="shared" si="78"/>
        <v>0</v>
      </c>
      <c r="L500">
        <f t="shared" si="78"/>
        <v>0</v>
      </c>
      <c r="N500">
        <f t="shared" si="79"/>
        <v>0</v>
      </c>
      <c r="O500">
        <f t="shared" si="79"/>
        <v>0</v>
      </c>
      <c r="Q500">
        <f t="shared" si="80"/>
        <v>0</v>
      </c>
      <c r="R500">
        <f t="shared" si="80"/>
        <v>0</v>
      </c>
    </row>
    <row r="501" spans="3:18" ht="12.75">
      <c r="C501">
        <f t="shared" si="75"/>
        <v>19</v>
      </c>
      <c r="D501">
        <f t="shared" si="76"/>
        <v>0</v>
      </c>
      <c r="E501">
        <f t="shared" si="76"/>
        <v>0</v>
      </c>
      <c r="H501">
        <f t="shared" si="77"/>
        <v>0</v>
      </c>
      <c r="I501">
        <f t="shared" si="77"/>
        <v>0</v>
      </c>
      <c r="K501">
        <f t="shared" si="78"/>
        <v>0</v>
      </c>
      <c r="L501">
        <f t="shared" si="78"/>
        <v>0</v>
      </c>
      <c r="N501">
        <f t="shared" si="79"/>
        <v>0</v>
      </c>
      <c r="O501">
        <f t="shared" si="79"/>
        <v>0</v>
      </c>
      <c r="Q501">
        <f t="shared" si="80"/>
        <v>0</v>
      </c>
      <c r="R501">
        <f t="shared" si="80"/>
        <v>0</v>
      </c>
    </row>
    <row r="502" spans="3:18" ht="12.75">
      <c r="C502">
        <f t="shared" si="75"/>
        <v>20</v>
      </c>
      <c r="D502">
        <f t="shared" si="76"/>
        <v>0</v>
      </c>
      <c r="E502">
        <f t="shared" si="76"/>
        <v>0</v>
      </c>
      <c r="H502">
        <f t="shared" si="77"/>
        <v>0</v>
      </c>
      <c r="I502">
        <f t="shared" si="77"/>
        <v>0</v>
      </c>
      <c r="K502">
        <f t="shared" si="78"/>
        <v>0</v>
      </c>
      <c r="L502">
        <f t="shared" si="78"/>
        <v>0</v>
      </c>
      <c r="N502">
        <f t="shared" si="79"/>
        <v>0</v>
      </c>
      <c r="O502">
        <f t="shared" si="79"/>
        <v>0</v>
      </c>
      <c r="Q502">
        <f t="shared" si="80"/>
        <v>0</v>
      </c>
      <c r="R502">
        <f t="shared" si="80"/>
        <v>0</v>
      </c>
    </row>
    <row r="503" spans="3:18" ht="12.75">
      <c r="C503">
        <f t="shared" si="75"/>
        <v>21</v>
      </c>
      <c r="D503">
        <f t="shared" si="76"/>
        <v>0</v>
      </c>
      <c r="E503">
        <f t="shared" si="76"/>
        <v>0</v>
      </c>
      <c r="H503">
        <f t="shared" si="77"/>
        <v>0</v>
      </c>
      <c r="I503">
        <f t="shared" si="77"/>
        <v>0</v>
      </c>
      <c r="K503">
        <f t="shared" si="78"/>
        <v>0</v>
      </c>
      <c r="L503">
        <f t="shared" si="78"/>
        <v>0</v>
      </c>
      <c r="N503">
        <f t="shared" si="79"/>
        <v>0</v>
      </c>
      <c r="O503">
        <f t="shared" si="79"/>
        <v>0</v>
      </c>
      <c r="Q503">
        <f t="shared" si="80"/>
        <v>0</v>
      </c>
      <c r="R503">
        <f t="shared" si="80"/>
        <v>0</v>
      </c>
    </row>
    <row r="504" spans="3:18" ht="12.75">
      <c r="C504">
        <f t="shared" si="75"/>
        <v>22</v>
      </c>
      <c r="D504">
        <f t="shared" si="76"/>
        <v>0</v>
      </c>
      <c r="E504">
        <f t="shared" si="76"/>
        <v>0</v>
      </c>
      <c r="H504">
        <f t="shared" si="77"/>
        <v>0</v>
      </c>
      <c r="I504">
        <f t="shared" si="77"/>
        <v>0</v>
      </c>
      <c r="K504">
        <f t="shared" si="78"/>
        <v>0</v>
      </c>
      <c r="L504">
        <f t="shared" si="78"/>
        <v>0</v>
      </c>
      <c r="N504">
        <f t="shared" si="79"/>
        <v>0</v>
      </c>
      <c r="O504">
        <f t="shared" si="79"/>
        <v>0</v>
      </c>
      <c r="Q504">
        <f t="shared" si="80"/>
        <v>0</v>
      </c>
      <c r="R504">
        <f t="shared" si="80"/>
        <v>0</v>
      </c>
    </row>
    <row r="505" spans="3:18" ht="12.75">
      <c r="C505">
        <f t="shared" si="75"/>
        <v>23</v>
      </c>
      <c r="D505">
        <f t="shared" si="76"/>
        <v>0</v>
      </c>
      <c r="E505">
        <f t="shared" si="76"/>
        <v>0</v>
      </c>
      <c r="H505">
        <f t="shared" si="77"/>
        <v>0</v>
      </c>
      <c r="I505">
        <f t="shared" si="77"/>
        <v>0</v>
      </c>
      <c r="K505">
        <f t="shared" si="78"/>
        <v>0</v>
      </c>
      <c r="L505">
        <f t="shared" si="78"/>
        <v>0</v>
      </c>
      <c r="N505">
        <f t="shared" si="79"/>
        <v>0</v>
      </c>
      <c r="O505">
        <f t="shared" si="79"/>
        <v>0</v>
      </c>
      <c r="Q505">
        <f t="shared" si="80"/>
        <v>0</v>
      </c>
      <c r="R505">
        <f t="shared" si="80"/>
        <v>0</v>
      </c>
    </row>
    <row r="506" spans="3:18" ht="12.75">
      <c r="C506">
        <f t="shared" si="75"/>
        <v>24</v>
      </c>
      <c r="D506" s="2">
        <f t="shared" si="76"/>
        <v>0</v>
      </c>
      <c r="E506" s="2">
        <f t="shared" si="76"/>
        <v>0</v>
      </c>
      <c r="H506" s="2">
        <f t="shared" si="77"/>
        <v>0</v>
      </c>
      <c r="I506" s="2">
        <f t="shared" si="77"/>
        <v>0</v>
      </c>
      <c r="K506" s="2">
        <f t="shared" si="78"/>
        <v>0</v>
      </c>
      <c r="L506" s="2">
        <f t="shared" si="78"/>
        <v>0</v>
      </c>
      <c r="N506" s="2">
        <f t="shared" si="79"/>
        <v>0</v>
      </c>
      <c r="O506" s="2">
        <f t="shared" si="79"/>
        <v>0</v>
      </c>
      <c r="Q506" s="2">
        <f t="shared" si="80"/>
        <v>0</v>
      </c>
      <c r="R506" s="2">
        <f t="shared" si="80"/>
        <v>0</v>
      </c>
    </row>
    <row r="507" spans="4:18" ht="12.75">
      <c r="D507">
        <f>SUM(D483:D506)</f>
        <v>0</v>
      </c>
      <c r="E507">
        <f>SUM(E483:E506)</f>
        <v>0</v>
      </c>
      <c r="H507">
        <f>SUM(H483:H506)</f>
        <v>0</v>
      </c>
      <c r="I507">
        <f>SUM(I483:I506)</f>
        <v>0</v>
      </c>
      <c r="K507">
        <f>SUM(K483:K506)</f>
        <v>0</v>
      </c>
      <c r="L507">
        <f>SUM(L483:L506)</f>
        <v>0</v>
      </c>
      <c r="N507">
        <f>SUM(N483:N506)</f>
        <v>0</v>
      </c>
      <c r="O507">
        <f>SUM(O483:O506)</f>
        <v>0</v>
      </c>
      <c r="Q507">
        <f>SUM(Q483:Q506)</f>
        <v>0</v>
      </c>
      <c r="R507">
        <f>SUM(R483:R506)</f>
        <v>0</v>
      </c>
    </row>
    <row r="509" spans="8:18" ht="12.75">
      <c r="H509" s="11" t="s">
        <v>214</v>
      </c>
      <c r="I509" s="11"/>
      <c r="K509" s="11" t="s">
        <v>214</v>
      </c>
      <c r="L509" s="11"/>
      <c r="N509" s="11" t="s">
        <v>214</v>
      </c>
      <c r="O509" s="11"/>
      <c r="Q509" s="11" t="s">
        <v>214</v>
      </c>
      <c r="R509" s="11"/>
    </row>
    <row r="510" spans="8:18" ht="12.75">
      <c r="H510">
        <f aca="true" t="shared" si="81" ref="H510:I527">H71*$C454</f>
        <v>0</v>
      </c>
      <c r="I510">
        <f t="shared" si="81"/>
        <v>0</v>
      </c>
      <c r="K510">
        <f aca="true" t="shared" si="82" ref="K510:L527">K71*$C454</f>
        <v>0</v>
      </c>
      <c r="L510">
        <f t="shared" si="82"/>
        <v>0</v>
      </c>
      <c r="N510">
        <f aca="true" t="shared" si="83" ref="N510:O527">N71*$C454</f>
        <v>0</v>
      </c>
      <c r="O510">
        <f t="shared" si="83"/>
        <v>0</v>
      </c>
      <c r="Q510">
        <f aca="true" t="shared" si="84" ref="Q510:R527">Q71*$C454</f>
        <v>0</v>
      </c>
      <c r="R510">
        <f t="shared" si="84"/>
        <v>0</v>
      </c>
    </row>
    <row r="511" spans="8:18" ht="12.75">
      <c r="H511">
        <f t="shared" si="81"/>
        <v>0</v>
      </c>
      <c r="I511">
        <f t="shared" si="81"/>
        <v>0</v>
      </c>
      <c r="K511">
        <f t="shared" si="82"/>
        <v>0</v>
      </c>
      <c r="L511">
        <f t="shared" si="82"/>
        <v>0</v>
      </c>
      <c r="N511">
        <f t="shared" si="83"/>
        <v>0</v>
      </c>
      <c r="O511">
        <f t="shared" si="83"/>
        <v>0</v>
      </c>
      <c r="Q511">
        <f t="shared" si="84"/>
        <v>0</v>
      </c>
      <c r="R511">
        <f t="shared" si="84"/>
        <v>0</v>
      </c>
    </row>
    <row r="512" spans="8:18" ht="12.75">
      <c r="H512">
        <f t="shared" si="81"/>
        <v>0</v>
      </c>
      <c r="I512">
        <f t="shared" si="81"/>
        <v>0</v>
      </c>
      <c r="K512">
        <f t="shared" si="82"/>
        <v>0</v>
      </c>
      <c r="L512">
        <f t="shared" si="82"/>
        <v>0</v>
      </c>
      <c r="N512">
        <f t="shared" si="83"/>
        <v>0</v>
      </c>
      <c r="O512">
        <f t="shared" si="83"/>
        <v>0</v>
      </c>
      <c r="Q512">
        <f t="shared" si="84"/>
        <v>0</v>
      </c>
      <c r="R512">
        <f t="shared" si="84"/>
        <v>0</v>
      </c>
    </row>
    <row r="513" spans="8:18" ht="12.75">
      <c r="H513">
        <f t="shared" si="81"/>
        <v>0</v>
      </c>
      <c r="I513">
        <f t="shared" si="81"/>
        <v>0</v>
      </c>
      <c r="K513">
        <f t="shared" si="82"/>
        <v>0</v>
      </c>
      <c r="L513">
        <f t="shared" si="82"/>
        <v>0</v>
      </c>
      <c r="N513">
        <f t="shared" si="83"/>
        <v>0</v>
      </c>
      <c r="O513">
        <f t="shared" si="83"/>
        <v>0</v>
      </c>
      <c r="Q513">
        <f t="shared" si="84"/>
        <v>0</v>
      </c>
      <c r="R513">
        <f t="shared" si="84"/>
        <v>0</v>
      </c>
    </row>
    <row r="514" spans="8:18" ht="12.75">
      <c r="H514">
        <f t="shared" si="81"/>
        <v>0</v>
      </c>
      <c r="I514">
        <f t="shared" si="81"/>
        <v>0</v>
      </c>
      <c r="K514">
        <f t="shared" si="82"/>
        <v>0</v>
      </c>
      <c r="L514">
        <f t="shared" si="82"/>
        <v>0</v>
      </c>
      <c r="N514">
        <f t="shared" si="83"/>
        <v>0</v>
      </c>
      <c r="O514">
        <f t="shared" si="83"/>
        <v>0</v>
      </c>
      <c r="Q514">
        <f t="shared" si="84"/>
        <v>0</v>
      </c>
      <c r="R514">
        <f t="shared" si="84"/>
        <v>0</v>
      </c>
    </row>
    <row r="515" spans="8:18" ht="12.75">
      <c r="H515">
        <f t="shared" si="81"/>
        <v>0</v>
      </c>
      <c r="I515">
        <f t="shared" si="81"/>
        <v>0</v>
      </c>
      <c r="K515">
        <f t="shared" si="82"/>
        <v>0</v>
      </c>
      <c r="L515">
        <f t="shared" si="82"/>
        <v>0</v>
      </c>
      <c r="N515">
        <f t="shared" si="83"/>
        <v>0</v>
      </c>
      <c r="O515">
        <f t="shared" si="83"/>
        <v>0</v>
      </c>
      <c r="Q515">
        <f t="shared" si="84"/>
        <v>0</v>
      </c>
      <c r="R515">
        <f t="shared" si="84"/>
        <v>0</v>
      </c>
    </row>
    <row r="516" spans="8:18" ht="12.75">
      <c r="H516">
        <f t="shared" si="81"/>
        <v>0</v>
      </c>
      <c r="I516">
        <f t="shared" si="81"/>
        <v>0</v>
      </c>
      <c r="K516">
        <f t="shared" si="82"/>
        <v>0</v>
      </c>
      <c r="L516">
        <f t="shared" si="82"/>
        <v>0</v>
      </c>
      <c r="N516">
        <f t="shared" si="83"/>
        <v>0</v>
      </c>
      <c r="O516">
        <f t="shared" si="83"/>
        <v>0</v>
      </c>
      <c r="Q516">
        <f t="shared" si="84"/>
        <v>0</v>
      </c>
      <c r="R516">
        <f t="shared" si="84"/>
        <v>0</v>
      </c>
    </row>
    <row r="517" spans="8:18" ht="12.75">
      <c r="H517">
        <f t="shared" si="81"/>
        <v>0</v>
      </c>
      <c r="I517">
        <f t="shared" si="81"/>
        <v>0</v>
      </c>
      <c r="K517">
        <f t="shared" si="82"/>
        <v>0</v>
      </c>
      <c r="L517">
        <f t="shared" si="82"/>
        <v>0</v>
      </c>
      <c r="N517">
        <f t="shared" si="83"/>
        <v>0</v>
      </c>
      <c r="O517">
        <f t="shared" si="83"/>
        <v>0</v>
      </c>
      <c r="Q517">
        <f t="shared" si="84"/>
        <v>0</v>
      </c>
      <c r="R517">
        <f t="shared" si="84"/>
        <v>0</v>
      </c>
    </row>
    <row r="518" spans="8:18" ht="12.75">
      <c r="H518">
        <f t="shared" si="81"/>
        <v>0</v>
      </c>
      <c r="I518">
        <f t="shared" si="81"/>
        <v>0</v>
      </c>
      <c r="K518">
        <f t="shared" si="82"/>
        <v>0</v>
      </c>
      <c r="L518">
        <f t="shared" si="82"/>
        <v>0</v>
      </c>
      <c r="N518">
        <f t="shared" si="83"/>
        <v>0</v>
      </c>
      <c r="O518">
        <f t="shared" si="83"/>
        <v>0</v>
      </c>
      <c r="Q518">
        <f t="shared" si="84"/>
        <v>0</v>
      </c>
      <c r="R518">
        <f t="shared" si="84"/>
        <v>0</v>
      </c>
    </row>
    <row r="519" spans="8:18" ht="12.75">
      <c r="H519">
        <f t="shared" si="81"/>
        <v>0</v>
      </c>
      <c r="I519">
        <f t="shared" si="81"/>
        <v>0</v>
      </c>
      <c r="K519">
        <f t="shared" si="82"/>
        <v>0</v>
      </c>
      <c r="L519">
        <f t="shared" si="82"/>
        <v>0</v>
      </c>
      <c r="N519">
        <f t="shared" si="83"/>
        <v>0</v>
      </c>
      <c r="O519">
        <f t="shared" si="83"/>
        <v>0</v>
      </c>
      <c r="Q519">
        <f t="shared" si="84"/>
        <v>0</v>
      </c>
      <c r="R519">
        <f t="shared" si="84"/>
        <v>0</v>
      </c>
    </row>
    <row r="520" spans="8:18" ht="12.75">
      <c r="H520">
        <f t="shared" si="81"/>
        <v>0</v>
      </c>
      <c r="I520">
        <f t="shared" si="81"/>
        <v>0</v>
      </c>
      <c r="K520">
        <f t="shared" si="82"/>
        <v>0</v>
      </c>
      <c r="L520">
        <f t="shared" si="82"/>
        <v>0</v>
      </c>
      <c r="N520">
        <f t="shared" si="83"/>
        <v>0</v>
      </c>
      <c r="O520">
        <f t="shared" si="83"/>
        <v>0</v>
      </c>
      <c r="Q520">
        <f t="shared" si="84"/>
        <v>0</v>
      </c>
      <c r="R520">
        <f t="shared" si="84"/>
        <v>0</v>
      </c>
    </row>
    <row r="521" spans="8:18" ht="12.75">
      <c r="H521">
        <f t="shared" si="81"/>
        <v>0</v>
      </c>
      <c r="I521">
        <f t="shared" si="81"/>
        <v>0</v>
      </c>
      <c r="K521">
        <f t="shared" si="82"/>
        <v>0</v>
      </c>
      <c r="L521">
        <f t="shared" si="82"/>
        <v>0</v>
      </c>
      <c r="N521">
        <f t="shared" si="83"/>
        <v>0</v>
      </c>
      <c r="O521">
        <f t="shared" si="83"/>
        <v>0</v>
      </c>
      <c r="Q521">
        <f t="shared" si="84"/>
        <v>0</v>
      </c>
      <c r="R521">
        <f t="shared" si="84"/>
        <v>0</v>
      </c>
    </row>
    <row r="522" spans="8:18" ht="12.75">
      <c r="H522">
        <f t="shared" si="81"/>
        <v>0</v>
      </c>
      <c r="I522">
        <f t="shared" si="81"/>
        <v>0</v>
      </c>
      <c r="K522">
        <f t="shared" si="82"/>
        <v>0</v>
      </c>
      <c r="L522">
        <f t="shared" si="82"/>
        <v>0</v>
      </c>
      <c r="N522">
        <f t="shared" si="83"/>
        <v>0</v>
      </c>
      <c r="O522">
        <f t="shared" si="83"/>
        <v>0</v>
      </c>
      <c r="Q522">
        <f t="shared" si="84"/>
        <v>0</v>
      </c>
      <c r="R522">
        <f t="shared" si="84"/>
        <v>0</v>
      </c>
    </row>
    <row r="523" spans="8:18" ht="12.75">
      <c r="H523">
        <f t="shared" si="81"/>
        <v>0</v>
      </c>
      <c r="I523">
        <f t="shared" si="81"/>
        <v>0</v>
      </c>
      <c r="K523">
        <f t="shared" si="82"/>
        <v>0</v>
      </c>
      <c r="L523">
        <f t="shared" si="82"/>
        <v>0</v>
      </c>
      <c r="N523">
        <f t="shared" si="83"/>
        <v>0</v>
      </c>
      <c r="O523">
        <f t="shared" si="83"/>
        <v>0</v>
      </c>
      <c r="Q523">
        <f t="shared" si="84"/>
        <v>0</v>
      </c>
      <c r="R523">
        <f t="shared" si="84"/>
        <v>0</v>
      </c>
    </row>
    <row r="524" spans="8:18" ht="12.75">
      <c r="H524">
        <f t="shared" si="81"/>
        <v>0</v>
      </c>
      <c r="I524">
        <f t="shared" si="81"/>
        <v>0</v>
      </c>
      <c r="K524">
        <f t="shared" si="82"/>
        <v>0</v>
      </c>
      <c r="L524">
        <f t="shared" si="82"/>
        <v>0</v>
      </c>
      <c r="N524">
        <f t="shared" si="83"/>
        <v>0</v>
      </c>
      <c r="O524">
        <f t="shared" si="83"/>
        <v>0</v>
      </c>
      <c r="Q524">
        <f t="shared" si="84"/>
        <v>0</v>
      </c>
      <c r="R524">
        <f t="shared" si="84"/>
        <v>0</v>
      </c>
    </row>
    <row r="525" spans="8:18" ht="12.75">
      <c r="H525">
        <f t="shared" si="81"/>
        <v>0</v>
      </c>
      <c r="I525">
        <f t="shared" si="81"/>
        <v>0</v>
      </c>
      <c r="K525">
        <f t="shared" si="82"/>
        <v>0</v>
      </c>
      <c r="L525">
        <f t="shared" si="82"/>
        <v>0</v>
      </c>
      <c r="N525">
        <f t="shared" si="83"/>
        <v>0</v>
      </c>
      <c r="O525">
        <f t="shared" si="83"/>
        <v>0</v>
      </c>
      <c r="Q525">
        <f t="shared" si="84"/>
        <v>0</v>
      </c>
      <c r="R525">
        <f t="shared" si="84"/>
        <v>0</v>
      </c>
    </row>
    <row r="526" spans="8:18" ht="12.75">
      <c r="H526">
        <f t="shared" si="81"/>
        <v>0</v>
      </c>
      <c r="I526">
        <f t="shared" si="81"/>
        <v>0</v>
      </c>
      <c r="K526">
        <f t="shared" si="82"/>
        <v>0</v>
      </c>
      <c r="L526">
        <f t="shared" si="82"/>
        <v>0</v>
      </c>
      <c r="N526">
        <f t="shared" si="83"/>
        <v>0</v>
      </c>
      <c r="O526">
        <f t="shared" si="83"/>
        <v>0</v>
      </c>
      <c r="Q526">
        <f t="shared" si="84"/>
        <v>0</v>
      </c>
      <c r="R526">
        <f t="shared" si="84"/>
        <v>0</v>
      </c>
    </row>
    <row r="527" spans="8:18" ht="13.5" thickBot="1">
      <c r="H527" s="485">
        <f t="shared" si="81"/>
        <v>0</v>
      </c>
      <c r="I527" s="485">
        <f t="shared" si="81"/>
        <v>0</v>
      </c>
      <c r="J527" s="485"/>
      <c r="K527" s="485">
        <f t="shared" si="82"/>
        <v>0</v>
      </c>
      <c r="L527" s="485">
        <f t="shared" si="82"/>
        <v>0</v>
      </c>
      <c r="M527" s="485"/>
      <c r="N527" s="485">
        <f t="shared" si="83"/>
        <v>0</v>
      </c>
      <c r="O527" s="485">
        <f t="shared" si="83"/>
        <v>0</v>
      </c>
      <c r="P527" s="485"/>
      <c r="Q527" s="485">
        <f t="shared" si="84"/>
        <v>0</v>
      </c>
      <c r="R527" s="485">
        <f t="shared" si="84"/>
        <v>0</v>
      </c>
    </row>
    <row r="528" spans="8:18" ht="12.75">
      <c r="H528">
        <f>SUM(H510:H527)</f>
        <v>0</v>
      </c>
      <c r="I528">
        <f>SUM(I510:I527)</f>
        <v>0</v>
      </c>
      <c r="K528">
        <f>SUM(K510:K527)</f>
        <v>0</v>
      </c>
      <c r="L528">
        <f>SUM(L510:L527)</f>
        <v>0</v>
      </c>
      <c r="N528">
        <f>SUM(N510:N527)</f>
        <v>0</v>
      </c>
      <c r="O528">
        <f>SUM(O510:O527)</f>
        <v>0</v>
      </c>
      <c r="Q528">
        <f>SUM(Q510:Q527)</f>
        <v>0</v>
      </c>
      <c r="R528">
        <f>SUM(R510:R527)</f>
        <v>0</v>
      </c>
    </row>
    <row r="530" spans="2:18" ht="15.75">
      <c r="B530" s="236" t="s">
        <v>215</v>
      </c>
      <c r="C530" s="6"/>
      <c r="E530" t="s">
        <v>216</v>
      </c>
      <c r="G530"/>
      <c r="H530" s="5">
        <v>1</v>
      </c>
      <c r="I530" s="5">
        <v>1</v>
      </c>
      <c r="K530" s="5">
        <v>2</v>
      </c>
      <c r="L530" s="5">
        <v>2</v>
      </c>
      <c r="N530" s="5">
        <v>3</v>
      </c>
      <c r="O530" s="5">
        <v>3</v>
      </c>
      <c r="Q530" s="5">
        <v>4</v>
      </c>
      <c r="R530" s="5">
        <v>4</v>
      </c>
    </row>
    <row r="531" spans="3:18" ht="12.75">
      <c r="C531" s="6"/>
      <c r="E531" t="s">
        <v>152</v>
      </c>
      <c r="G531"/>
      <c r="H531" s="5">
        <v>1</v>
      </c>
      <c r="I531" s="5">
        <v>2</v>
      </c>
      <c r="K531" s="5">
        <v>1</v>
      </c>
      <c r="L531" s="5">
        <v>2</v>
      </c>
      <c r="N531" s="5">
        <v>1</v>
      </c>
      <c r="O531" s="5">
        <v>2</v>
      </c>
      <c r="Q531" s="5">
        <v>1</v>
      </c>
      <c r="R531" s="5">
        <v>2</v>
      </c>
    </row>
    <row r="532" spans="2:35" s="1" customFormat="1" ht="12.75">
      <c r="B532" t="s">
        <v>217</v>
      </c>
      <c r="C532" s="6"/>
      <c r="E532" s="6" t="s">
        <v>218</v>
      </c>
      <c r="H532" s="281">
        <f>$D$466</f>
        <v>89.20663734806071</v>
      </c>
      <c r="I532" s="281">
        <f>$D$466</f>
        <v>89.20663734806071</v>
      </c>
      <c r="J532" s="234"/>
      <c r="K532" s="234">
        <f>$D$466</f>
        <v>89.20663734806071</v>
      </c>
      <c r="L532" s="234">
        <f>$D$466</f>
        <v>89.20663734806071</v>
      </c>
      <c r="M532" s="234"/>
      <c r="N532" s="234">
        <f>$D$466</f>
        <v>89.20663734806071</v>
      </c>
      <c r="O532" s="234">
        <f>$D$466</f>
        <v>89.20663734806071</v>
      </c>
      <c r="P532" s="234"/>
      <c r="Q532" s="234">
        <f>$D$466</f>
        <v>89.20663734806071</v>
      </c>
      <c r="R532" s="234">
        <f>$D$466</f>
        <v>89.20663734806071</v>
      </c>
      <c r="W532"/>
      <c r="X532"/>
      <c r="Y532"/>
      <c r="Z532"/>
      <c r="AA532"/>
      <c r="AB532"/>
      <c r="AC532"/>
      <c r="AD532"/>
      <c r="AE532"/>
      <c r="AF532"/>
      <c r="AG532"/>
      <c r="AH532"/>
      <c r="AI532"/>
    </row>
    <row r="533" spans="2:35" s="1" customFormat="1" ht="12.75">
      <c r="B533" s="464" t="s">
        <v>219</v>
      </c>
      <c r="C533" s="6"/>
      <c r="E533" s="6" t="s">
        <v>210</v>
      </c>
      <c r="H533" s="281">
        <f>H477</f>
        <v>0</v>
      </c>
      <c r="I533" s="281">
        <f>I477</f>
        <v>0</v>
      </c>
      <c r="J533" s="234"/>
      <c r="K533" s="234">
        <f>K477</f>
        <v>0</v>
      </c>
      <c r="L533" s="234">
        <f>L477</f>
        <v>0</v>
      </c>
      <c r="M533" s="234"/>
      <c r="N533" s="234">
        <f>N477</f>
        <v>0</v>
      </c>
      <c r="O533" s="234">
        <f>O477</f>
        <v>0</v>
      </c>
      <c r="P533" s="234"/>
      <c r="Q533" s="234">
        <f>Q477</f>
        <v>0</v>
      </c>
      <c r="R533" s="234">
        <f>R477</f>
        <v>0</v>
      </c>
      <c r="W533"/>
      <c r="X533"/>
      <c r="Y533"/>
      <c r="Z533"/>
      <c r="AA533"/>
      <c r="AB533"/>
      <c r="AC533"/>
      <c r="AD533"/>
      <c r="AE533"/>
      <c r="AF533"/>
      <c r="AG533"/>
      <c r="AH533"/>
      <c r="AI533"/>
    </row>
    <row r="534" spans="3:18" ht="12.75">
      <c r="C534" s="6"/>
      <c r="E534" s="6" t="s">
        <v>220</v>
      </c>
      <c r="F534" s="1"/>
      <c r="G534" s="1"/>
      <c r="H534" s="281">
        <f>H480</f>
        <v>0</v>
      </c>
      <c r="I534" s="281">
        <f>I480</f>
        <v>0</v>
      </c>
      <c r="J534" s="234"/>
      <c r="K534" s="234">
        <f>K480</f>
        <v>0</v>
      </c>
      <c r="L534" s="234">
        <f>L480</f>
        <v>0</v>
      </c>
      <c r="M534" s="234"/>
      <c r="N534" s="234">
        <f>N480</f>
        <v>0</v>
      </c>
      <c r="O534" s="234">
        <f>O480</f>
        <v>0</v>
      </c>
      <c r="P534" s="234"/>
      <c r="Q534" s="234">
        <f>Q480</f>
        <v>0</v>
      </c>
      <c r="R534" s="234">
        <f>R480</f>
        <v>0</v>
      </c>
    </row>
    <row r="535" spans="2:18" ht="12.75">
      <c r="B535" t="s">
        <v>221</v>
      </c>
      <c r="C535" s="6"/>
      <c r="E535" s="6" t="s">
        <v>213</v>
      </c>
      <c r="F535" s="1"/>
      <c r="G535" s="1"/>
      <c r="H535" s="281">
        <f>H507</f>
        <v>0</v>
      </c>
      <c r="I535" s="281">
        <f>I507</f>
        <v>0</v>
      </c>
      <c r="J535" s="234"/>
      <c r="K535" s="234">
        <f>K507</f>
        <v>0</v>
      </c>
      <c r="L535" s="234">
        <f>L507</f>
        <v>0</v>
      </c>
      <c r="M535" s="234"/>
      <c r="N535" s="234">
        <f>N507</f>
        <v>0</v>
      </c>
      <c r="O535" s="234">
        <f>O507</f>
        <v>0</v>
      </c>
      <c r="P535" s="234"/>
      <c r="Q535" s="234">
        <f>Q507</f>
        <v>0</v>
      </c>
      <c r="R535" s="234">
        <f>R507</f>
        <v>0</v>
      </c>
    </row>
    <row r="536" spans="2:18" ht="12.75">
      <c r="B536" s="464" t="s">
        <v>219</v>
      </c>
      <c r="C536" s="6"/>
      <c r="E536" s="6" t="s">
        <v>212</v>
      </c>
      <c r="F536" s="1"/>
      <c r="G536" s="1"/>
      <c r="H536" s="281">
        <f>$D$507</f>
        <v>0</v>
      </c>
      <c r="I536" s="281">
        <f>$E$507</f>
        <v>0</v>
      </c>
      <c r="J536" s="234"/>
      <c r="K536" s="234">
        <f>$D$507</f>
        <v>0</v>
      </c>
      <c r="L536" s="234">
        <f>$E$507</f>
        <v>0</v>
      </c>
      <c r="M536" s="234"/>
      <c r="N536" s="234">
        <f>$D$507</f>
        <v>0</v>
      </c>
      <c r="O536" s="234">
        <f>$E$507</f>
        <v>0</v>
      </c>
      <c r="P536" s="234"/>
      <c r="Q536" s="234">
        <f>$D$507</f>
        <v>0</v>
      </c>
      <c r="R536" s="234">
        <f>$E$507</f>
        <v>0</v>
      </c>
    </row>
    <row r="537" spans="3:18" ht="13.5" thickBot="1">
      <c r="C537" s="6"/>
      <c r="E537" s="232" t="s">
        <v>214</v>
      </c>
      <c r="F537" s="231"/>
      <c r="G537" s="231"/>
      <c r="H537" s="282">
        <f>H528</f>
        <v>0</v>
      </c>
      <c r="I537" s="282">
        <f>I528</f>
        <v>0</v>
      </c>
      <c r="J537" s="235"/>
      <c r="K537" s="235">
        <f>K528</f>
        <v>0</v>
      </c>
      <c r="L537" s="235">
        <f>L528</f>
        <v>0</v>
      </c>
      <c r="M537" s="235"/>
      <c r="N537" s="235">
        <f>N528</f>
        <v>0</v>
      </c>
      <c r="O537" s="235">
        <f>O528</f>
        <v>0</v>
      </c>
      <c r="P537" s="235"/>
      <c r="Q537" s="235">
        <f>Q528</f>
        <v>0</v>
      </c>
      <c r="R537" s="235">
        <f>R528</f>
        <v>0</v>
      </c>
    </row>
    <row r="538" spans="2:18" ht="13.5" thickTop="1">
      <c r="B538" s="6" t="s">
        <v>222</v>
      </c>
      <c r="C538" s="6"/>
      <c r="E538" s="1" t="s">
        <v>223</v>
      </c>
      <c r="F538" s="1"/>
      <c r="G538" s="1"/>
      <c r="H538" s="258">
        <f>H532+H533+H534+H535+H536+H537</f>
        <v>89.20663734806071</v>
      </c>
      <c r="I538" s="258">
        <f>I532+I533+I534+I535+I536+I537</f>
        <v>89.20663734806071</v>
      </c>
      <c r="J538" s="258"/>
      <c r="K538" s="258">
        <f>K532+K533+K534+K535+K536+K537</f>
        <v>89.20663734806071</v>
      </c>
      <c r="L538" s="258">
        <f>L532+L533+L534+L535+L536+L537</f>
        <v>89.20663734806071</v>
      </c>
      <c r="M538" s="258"/>
      <c r="N538" s="258">
        <f>N532+N533+N534+N535+N536+N537</f>
        <v>89.20663734806071</v>
      </c>
      <c r="O538" s="258">
        <f>O532+O533+O534+O535+O536+O537</f>
        <v>89.20663734806071</v>
      </c>
      <c r="P538" s="258"/>
      <c r="Q538" s="258">
        <f>Q532+Q533+Q534+Q535+Q536+Q537</f>
        <v>89.20663734806071</v>
      </c>
      <c r="R538" s="258">
        <f>R532+R533+R534+R535+R536+R537</f>
        <v>89.20663734806071</v>
      </c>
    </row>
    <row r="539" spans="2:18" ht="13.5" thickBot="1">
      <c r="B539" s="465" t="s">
        <v>114</v>
      </c>
      <c r="C539" s="6"/>
      <c r="E539" s="231" t="s">
        <v>224</v>
      </c>
      <c r="F539" s="231"/>
      <c r="G539" s="231"/>
      <c r="H539" s="466">
        <v>89.20663734806071</v>
      </c>
      <c r="I539" s="466">
        <v>89.20663734806071</v>
      </c>
      <c r="J539" s="466"/>
      <c r="K539" s="466">
        <v>89.2066373480607</v>
      </c>
      <c r="L539" s="466">
        <v>89.2066373480607</v>
      </c>
      <c r="M539" s="466"/>
      <c r="N539" s="466">
        <v>89.2066373480607</v>
      </c>
      <c r="O539" s="466">
        <v>89.2066373480607</v>
      </c>
      <c r="P539" s="466"/>
      <c r="Q539" s="466">
        <v>89.2066373480607</v>
      </c>
      <c r="R539" s="466">
        <v>89.2066373480607</v>
      </c>
    </row>
    <row r="540" spans="2:18" ht="14.25" thickBot="1" thickTop="1">
      <c r="B540" s="6"/>
      <c r="C540" s="6"/>
      <c r="E540" s="233" t="s">
        <v>225</v>
      </c>
      <c r="F540" s="233"/>
      <c r="G540" s="233"/>
      <c r="H540" s="237">
        <f>H539-H538</f>
        <v>0</v>
      </c>
      <c r="I540" s="237">
        <f>I539-I538</f>
        <v>0</v>
      </c>
      <c r="J540" s="237"/>
      <c r="K540" s="237">
        <f>K539-K538</f>
        <v>0</v>
      </c>
      <c r="L540" s="237">
        <f>L539-L538</f>
        <v>0</v>
      </c>
      <c r="M540" s="237"/>
      <c r="N540" s="237">
        <f>N539-N538</f>
        <v>0</v>
      </c>
      <c r="O540" s="237">
        <f>O539-O538</f>
        <v>0</v>
      </c>
      <c r="P540" s="237"/>
      <c r="Q540" s="237">
        <f>Q539-Q538</f>
        <v>0</v>
      </c>
      <c r="R540" s="237">
        <f>R539-R538</f>
        <v>0</v>
      </c>
    </row>
    <row r="541" spans="2:18" ht="13.5" thickTop="1">
      <c r="B541" s="6" t="s">
        <v>226</v>
      </c>
      <c r="C541" s="6"/>
      <c r="E541" s="25" t="s">
        <v>227</v>
      </c>
      <c r="F541" s="1"/>
      <c r="G541" s="1"/>
      <c r="H541" s="97" t="str">
        <f>IF(ABS(H540)&lt;=0.000001,"VALID","NOT VALID")</f>
        <v>VALID</v>
      </c>
      <c r="I541" s="97" t="str">
        <f>IF(ABS(I540)&lt;=0.000001,"VALID","NOT VALID")</f>
        <v>VALID</v>
      </c>
      <c r="J541" s="97"/>
      <c r="K541" s="97" t="str">
        <f>IF(ABS(K540)&lt;=0.000001,"VALID","NOT VALID")</f>
        <v>VALID</v>
      </c>
      <c r="L541" s="97" t="str">
        <f>IF(ABS(L540)&lt;=0.000001,"VALID","NOT VALID")</f>
        <v>VALID</v>
      </c>
      <c r="M541" s="97"/>
      <c r="N541" s="97" t="str">
        <f>IF(ABS(N540)&lt;=0.000001,"VALID","NOT VALID")</f>
        <v>VALID</v>
      </c>
      <c r="O541" s="97" t="str">
        <f>IF(ABS(O540)&lt;=0.000001,"VALID","NOT VALID")</f>
        <v>VALID</v>
      </c>
      <c r="P541" s="97"/>
      <c r="Q541" s="97" t="str">
        <f>IF(ABS(Q540)&lt;=0.000001,"VALID","NOT VALID")</f>
        <v>VALID</v>
      </c>
      <c r="R541" s="97" t="str">
        <f>IF(ABS(R540)&lt;=0.000001,"VALID","NOT VALID")</f>
        <v>VALID</v>
      </c>
    </row>
  </sheetData>
  <printOptions horizontalCentered="1" verticalCentered="1"/>
  <pageMargins left="0.75" right="0.5" top="0.58" bottom="0.68" header="0.25" footer="0.5"/>
  <pageSetup fitToHeight="1" fitToWidth="1" horizontalDpi="360" verticalDpi="360" orientation="portrait" scale="59" r:id="rId4"/>
  <headerFooter alignWithMargins="0">
    <oddFooter>&amp;L&amp;11&amp;F &amp;A&amp;R&amp;11&amp;T &amp;D</oddFooter>
  </headerFooter>
  <rowBreaks count="3" manualBreakCount="3">
    <brk id="90" max="65535" man="1"/>
    <brk id="266" max="65535" man="1"/>
    <brk id="338" max="65535" man="1"/>
  </rowBreaks>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R58"/>
  <sheetViews>
    <sheetView showZeros="0" workbookViewId="0" topLeftCell="A19">
      <selection activeCell="G36" sqref="G36"/>
    </sheetView>
  </sheetViews>
  <sheetFormatPr defaultColWidth="9.140625" defaultRowHeight="12.75"/>
  <cols>
    <col min="1" max="14" width="9.8515625" style="5" customWidth="1"/>
    <col min="15" max="16384" width="5.57421875" style="5" customWidth="1"/>
  </cols>
  <sheetData>
    <row r="1" spans="1:13" ht="19.5" customHeight="1">
      <c r="A1" s="792" t="s">
        <v>228</v>
      </c>
      <c r="B1" s="789"/>
      <c r="C1" s="793"/>
      <c r="D1" s="793"/>
      <c r="E1" s="793"/>
      <c r="F1" s="603" t="s">
        <v>229</v>
      </c>
      <c r="G1" s="647"/>
      <c r="H1" s="648"/>
      <c r="I1" s="318"/>
      <c r="J1" s="648"/>
      <c r="K1" s="648"/>
      <c r="L1" s="648"/>
      <c r="M1" s="649"/>
    </row>
    <row r="2" spans="1:13" ht="13.5" customHeight="1">
      <c r="A2" s="604"/>
      <c r="B2" s="790"/>
      <c r="C2" s="794"/>
      <c r="D2" s="794"/>
      <c r="E2" s="794"/>
      <c r="F2" s="605" t="s">
        <v>230</v>
      </c>
      <c r="G2" s="777"/>
      <c r="H2" s="650"/>
      <c r="I2" s="319"/>
      <c r="J2" s="650"/>
      <c r="K2" s="650"/>
      <c r="L2" s="650"/>
      <c r="M2" s="795"/>
    </row>
    <row r="3" spans="1:13" ht="13.5" customHeight="1" thickBot="1">
      <c r="A3" s="606"/>
      <c r="B3" s="791"/>
      <c r="C3" s="796"/>
      <c r="D3" s="796"/>
      <c r="E3" s="796"/>
      <c r="F3" s="608" t="s">
        <v>231</v>
      </c>
      <c r="G3" s="652"/>
      <c r="H3" s="653"/>
      <c r="I3" s="173"/>
      <c r="J3" s="653"/>
      <c r="K3" s="653"/>
      <c r="L3" s="653"/>
      <c r="M3" s="654"/>
    </row>
    <row r="4" spans="1:13" s="782" customFormat="1" ht="13.5" customHeight="1">
      <c r="A4" s="797"/>
      <c r="B4" s="798"/>
      <c r="C4" s="799"/>
      <c r="D4" s="799"/>
      <c r="E4" s="799"/>
      <c r="F4" s="783"/>
      <c r="G4" s="800"/>
      <c r="H4" s="801"/>
      <c r="I4" s="15"/>
      <c r="J4" s="801"/>
      <c r="K4" s="801"/>
      <c r="L4" s="801"/>
      <c r="M4" s="801"/>
    </row>
    <row r="5" spans="1:6" ht="15">
      <c r="A5" s="524" t="s">
        <v>232</v>
      </c>
      <c r="B5" s="523"/>
      <c r="E5"/>
      <c r="F5"/>
    </row>
    <row r="6" spans="2:6" ht="12.75">
      <c r="B6" s="523"/>
      <c r="E6"/>
      <c r="F6"/>
    </row>
    <row r="7" spans="6:11" ht="12.75">
      <c r="F7"/>
      <c r="K7"/>
    </row>
    <row r="8" ht="13.5" thickBot="1">
      <c r="F8"/>
    </row>
    <row r="9" spans="1:6" ht="13.5" thickBot="1">
      <c r="A9" s="525" t="s">
        <v>12</v>
      </c>
      <c r="B9" s="166"/>
      <c r="C9" s="166"/>
      <c r="D9" s="382" t="s">
        <v>13</v>
      </c>
      <c r="E9" s="383" t="s">
        <v>14</v>
      </c>
      <c r="F9"/>
    </row>
    <row r="10" spans="1:9" ht="12.75">
      <c r="A10" s="33"/>
      <c r="B10" s="6"/>
      <c r="C10" s="152" t="s">
        <v>20</v>
      </c>
      <c r="D10" s="386">
        <v>10.79</v>
      </c>
      <c r="E10" s="526">
        <v>10.79</v>
      </c>
      <c r="F10"/>
      <c r="G10"/>
      <c r="H10"/>
      <c r="I10"/>
    </row>
    <row r="11" spans="1:17" ht="13.5" thickBot="1">
      <c r="A11" s="35"/>
      <c r="B11" s="26"/>
      <c r="C11" s="153" t="s">
        <v>23</v>
      </c>
      <c r="D11" s="527">
        <v>0.3</v>
      </c>
      <c r="E11" s="528">
        <v>1</v>
      </c>
      <c r="F11"/>
      <c r="G11"/>
      <c r="H11"/>
      <c r="I11"/>
      <c r="J11"/>
      <c r="K11"/>
      <c r="L11"/>
      <c r="M11"/>
      <c r="N11"/>
      <c r="O11"/>
      <c r="P11"/>
      <c r="Q11"/>
    </row>
    <row r="12" spans="1:17" ht="13.5" thickBot="1">
      <c r="A12" s="525" t="s">
        <v>233</v>
      </c>
      <c r="B12" s="167"/>
      <c r="C12" s="168"/>
      <c r="D12" s="166"/>
      <c r="E12" s="169"/>
      <c r="F12" s="394"/>
      <c r="G12" s="393"/>
      <c r="H12" s="394" t="s">
        <v>234</v>
      </c>
      <c r="I12" s="393"/>
      <c r="J12" s="394" t="s">
        <v>234</v>
      </c>
      <c r="K12" s="393"/>
      <c r="L12" s="394"/>
      <c r="M12" s="393"/>
      <c r="N12"/>
      <c r="O12"/>
      <c r="P12"/>
      <c r="Q12"/>
    </row>
    <row r="13" spans="1:17" ht="13.5" thickBot="1">
      <c r="A13" s="529" t="s">
        <v>235</v>
      </c>
      <c r="B13" s="530"/>
      <c r="C13" s="364"/>
      <c r="D13" s="364"/>
      <c r="E13" s="366" t="s">
        <v>33</v>
      </c>
      <c r="F13" s="531" t="s">
        <v>34</v>
      </c>
      <c r="G13" s="532" t="s">
        <v>35</v>
      </c>
      <c r="H13" s="531" t="s">
        <v>34</v>
      </c>
      <c r="I13" s="532" t="s">
        <v>35</v>
      </c>
      <c r="J13" s="531" t="s">
        <v>34</v>
      </c>
      <c r="K13" s="532" t="s">
        <v>35</v>
      </c>
      <c r="L13" s="531" t="s">
        <v>34</v>
      </c>
      <c r="M13" s="532" t="s">
        <v>35</v>
      </c>
      <c r="N13"/>
      <c r="O13"/>
      <c r="P13"/>
      <c r="Q13"/>
    </row>
    <row r="14" spans="1:17" ht="12.75">
      <c r="A14" s="350"/>
      <c r="B14" s="351"/>
      <c r="C14" s="352" t="s">
        <v>36</v>
      </c>
      <c r="D14" s="353"/>
      <c r="E14" s="158" t="s">
        <v>37</v>
      </c>
      <c r="F14" s="533"/>
      <c r="G14" s="562" t="s">
        <v>38</v>
      </c>
      <c r="H14" s="533"/>
      <c r="I14" s="562" t="s">
        <v>38</v>
      </c>
      <c r="J14" s="533"/>
      <c r="K14" s="562" t="s">
        <v>38</v>
      </c>
      <c r="L14" s="533"/>
      <c r="M14" s="562" t="s">
        <v>38</v>
      </c>
      <c r="N14"/>
      <c r="O14"/>
      <c r="P14"/>
      <c r="Q14"/>
    </row>
    <row r="15" spans="1:17" ht="13.5" thickBot="1">
      <c r="A15" s="354"/>
      <c r="B15" s="60"/>
      <c r="C15" s="355"/>
      <c r="D15" s="61"/>
      <c r="E15" s="159" t="s">
        <v>39</v>
      </c>
      <c r="F15" s="535"/>
      <c r="G15" s="785"/>
      <c r="H15" s="535"/>
      <c r="I15" s="785"/>
      <c r="J15" s="535"/>
      <c r="K15" s="785"/>
      <c r="L15" s="535"/>
      <c r="M15" s="785"/>
      <c r="N15"/>
      <c r="O15"/>
      <c r="P15"/>
      <c r="Q15"/>
    </row>
    <row r="16" spans="1:17" ht="12.75">
      <c r="A16" s="350"/>
      <c r="B16" s="351"/>
      <c r="C16" s="352" t="s">
        <v>40</v>
      </c>
      <c r="D16" s="353"/>
      <c r="E16" s="158" t="s">
        <v>37</v>
      </c>
      <c r="F16" s="533"/>
      <c r="G16" s="534"/>
      <c r="H16" s="533"/>
      <c r="I16" s="534"/>
      <c r="J16" s="533"/>
      <c r="K16" s="534"/>
      <c r="L16" s="533"/>
      <c r="M16" s="534"/>
      <c r="N16"/>
      <c r="O16"/>
      <c r="P16"/>
      <c r="Q16"/>
    </row>
    <row r="17" spans="1:17" ht="13.5" thickBot="1">
      <c r="A17" s="354"/>
      <c r="B17" s="60"/>
      <c r="C17" s="355"/>
      <c r="D17" s="61"/>
      <c r="E17" s="159" t="s">
        <v>39</v>
      </c>
      <c r="F17" s="533"/>
      <c r="G17" s="534"/>
      <c r="H17" s="533"/>
      <c r="I17" s="534"/>
      <c r="J17" s="533"/>
      <c r="K17" s="534"/>
      <c r="L17" s="533"/>
      <c r="M17" s="534"/>
      <c r="N17"/>
      <c r="O17"/>
      <c r="P17"/>
      <c r="Q17"/>
    </row>
    <row r="18" spans="1:18" ht="13.5" thickBot="1">
      <c r="A18" s="525" t="s">
        <v>236</v>
      </c>
      <c r="B18" s="166"/>
      <c r="C18" s="166"/>
      <c r="D18" s="167"/>
      <c r="E18" s="169"/>
      <c r="F18" s="401" t="s">
        <v>42</v>
      </c>
      <c r="G18" s="402" t="s">
        <v>43</v>
      </c>
      <c r="H18" s="401" t="s">
        <v>42</v>
      </c>
      <c r="I18" s="402" t="s">
        <v>43</v>
      </c>
      <c r="J18" s="401" t="s">
        <v>42</v>
      </c>
      <c r="K18" s="402" t="s">
        <v>43</v>
      </c>
      <c r="L18" s="401" t="s">
        <v>42</v>
      </c>
      <c r="M18" s="402" t="s">
        <v>43</v>
      </c>
      <c r="N18"/>
      <c r="O18"/>
      <c r="P18"/>
      <c r="Q18"/>
      <c r="R18"/>
    </row>
    <row r="19" spans="1:18" ht="12.75">
      <c r="A19" s="33"/>
      <c r="B19" s="6"/>
      <c r="C19" s="45"/>
      <c r="D19" s="45"/>
      <c r="E19" s="152" t="s">
        <v>237</v>
      </c>
      <c r="F19" s="786"/>
      <c r="G19" s="534"/>
      <c r="H19" s="786"/>
      <c r="I19" s="534"/>
      <c r="J19" s="786"/>
      <c r="K19" s="534"/>
      <c r="L19" s="786"/>
      <c r="M19" s="534"/>
      <c r="N19"/>
      <c r="O19"/>
      <c r="P19"/>
      <c r="Q19"/>
      <c r="R19"/>
    </row>
    <row r="20" spans="1:18" ht="15.75">
      <c r="A20" s="33"/>
      <c r="B20" s="6"/>
      <c r="C20" s="49"/>
      <c r="D20" s="49"/>
      <c r="E20" s="96" t="s">
        <v>45</v>
      </c>
      <c r="F20" s="786"/>
      <c r="G20" s="534"/>
      <c r="H20" s="786"/>
      <c r="I20" s="534"/>
      <c r="J20" s="786"/>
      <c r="K20" s="534"/>
      <c r="L20" s="786"/>
      <c r="M20" s="534"/>
      <c r="N20"/>
      <c r="O20"/>
      <c r="P20"/>
      <c r="Q20"/>
      <c r="R20"/>
    </row>
    <row r="21" spans="1:18" ht="13.5" thickBot="1">
      <c r="A21" s="33"/>
      <c r="B21" s="26"/>
      <c r="C21" s="46"/>
      <c r="D21" s="46"/>
      <c r="E21" s="153" t="s">
        <v>46</v>
      </c>
      <c r="F21" s="787"/>
      <c r="G21" s="788"/>
      <c r="H21" s="787"/>
      <c r="I21" s="788"/>
      <c r="J21" s="787"/>
      <c r="K21" s="788"/>
      <c r="L21" s="787"/>
      <c r="M21" s="788"/>
      <c r="N21"/>
      <c r="O21"/>
      <c r="P21"/>
      <c r="Q21"/>
      <c r="R21"/>
    </row>
    <row r="22" spans="1:13" ht="13.5" thickBot="1">
      <c r="A22" s="556" t="s">
        <v>238</v>
      </c>
      <c r="B22" s="557"/>
      <c r="C22" s="557"/>
      <c r="D22" s="557"/>
      <c r="E22" s="557"/>
      <c r="F22" s="557"/>
      <c r="G22" s="557"/>
      <c r="H22" s="557"/>
      <c r="I22" s="557"/>
      <c r="J22" s="557"/>
      <c r="K22" s="557"/>
      <c r="L22" s="557"/>
      <c r="M22" s="476"/>
    </row>
    <row r="23" spans="1:13" ht="12.75">
      <c r="A23" s="118"/>
      <c r="B23" s="120"/>
      <c r="C23" s="120"/>
      <c r="D23" s="14"/>
      <c r="E23" s="484" t="s">
        <v>239</v>
      </c>
      <c r="F23" s="541">
        <f>IF(OR((F15=""),(G15="")),"",F15*60/G15)</f>
      </c>
      <c r="G23" s="559">
        <f>IF(OR((F15=""),(G15=""),AND((G20=""),(G21=""))),"",F15*60/G15)</f>
      </c>
      <c r="H23" s="541">
        <f>IF(OR((H15=""),(I15="")),"",H15*60/I15)</f>
      </c>
      <c r="I23" s="559">
        <f>IF(OR((H15=""),(I15=""),AND((I20=""),(I21=""))),"",H15*60/I15)</f>
      </c>
      <c r="J23" s="541">
        <f>IF(OR((J15=""),(K15="")),"",J15*60/K15)</f>
      </c>
      <c r="K23" s="559">
        <f>IF(OR((J15=""),(K15=""),AND((K20=""),(K21=""))),"",J15*60/K15)</f>
      </c>
      <c r="L23" s="541">
        <f>IF(OR((L15=""),(M15="")),"",L15*60/M15)</f>
      </c>
      <c r="M23" s="559">
        <f>IF(OR((L15=""),(M15=""),AND((M20=""),(M21=""))),"",L15*60/M15)</f>
      </c>
    </row>
    <row r="24" spans="1:13" ht="12.75">
      <c r="A24" s="121"/>
      <c r="B24" s="97"/>
      <c r="C24" s="97"/>
      <c r="D24" s="1"/>
      <c r="E24" s="484" t="s">
        <v>240</v>
      </c>
      <c r="F24" s="542">
        <f>IF(OR((F14=""),(F20="")),"",F14*60/F20)</f>
      </c>
      <c r="G24" s="560">
        <f>IF(OR((F14=""),(G20="")),"",F14*60/G20)</f>
      </c>
      <c r="H24" s="542">
        <f>IF(OR((H14=""),(H20="")),"",H14*60/H20)</f>
      </c>
      <c r="I24" s="560">
        <f>IF(OR((H14=""),(I20="")),"",H14*60/I20)</f>
      </c>
      <c r="J24" s="542">
        <f>IF(OR((J14=""),(J20="")),"",J14*60/J20)</f>
      </c>
      <c r="K24" s="560">
        <f>IF(OR((J14=""),(K20="")),"",J14*60/K20)</f>
      </c>
      <c r="L24" s="542">
        <f>IF(OR((L14=""),(L20="")),"",L14*60/L20)</f>
      </c>
      <c r="M24" s="560">
        <f>IF(OR((L14=""),(M20="")),"",L14*60/M20)</f>
      </c>
    </row>
    <row r="25" spans="1:13" ht="12.75">
      <c r="A25" s="121"/>
      <c r="B25" s="97"/>
      <c r="C25" s="97"/>
      <c r="D25" s="97"/>
      <c r="E25" s="484" t="s">
        <v>241</v>
      </c>
      <c r="F25" s="542">
        <f aca="true" t="shared" si="0" ref="F25:M25">IF(OR((F24=""),(F23="")),"",F24-F23)</f>
      </c>
      <c r="G25" s="560">
        <f t="shared" si="0"/>
      </c>
      <c r="H25" s="542">
        <f t="shared" si="0"/>
      </c>
      <c r="I25" s="560">
        <f t="shared" si="0"/>
      </c>
      <c r="J25" s="542">
        <f t="shared" si="0"/>
      </c>
      <c r="K25" s="560">
        <f t="shared" si="0"/>
      </c>
      <c r="L25" s="542">
        <f t="shared" si="0"/>
      </c>
      <c r="M25" s="560">
        <f t="shared" si="0"/>
      </c>
    </row>
    <row r="26" spans="1:13" ht="12.75">
      <c r="A26" s="121"/>
      <c r="B26" s="97"/>
      <c r="C26" s="97"/>
      <c r="D26" s="97"/>
      <c r="E26" s="484" t="s">
        <v>242</v>
      </c>
      <c r="F26" s="542">
        <f>IF(OR((F14=""),(F21="")),"",F14*60/F21)</f>
      </c>
      <c r="G26" s="560">
        <f>IF(OR((F14=""),(G21="")),"",F14*60/G21)</f>
      </c>
      <c r="H26" s="542">
        <f>IF(OR((H14=""),(H21="")),"",H14*60/H21)</f>
      </c>
      <c r="I26" s="560">
        <f>IF(OR((H14=""),(I21="")),"",H14*60/I21)</f>
      </c>
      <c r="J26" s="542">
        <f>IF(OR((J14=""),(J21="")),"",J14*60/J21)</f>
      </c>
      <c r="K26" s="560">
        <f>IF(OR((J14=""),(K21="")),"",J14*60/K21)</f>
      </c>
      <c r="L26" s="542">
        <f>IF(OR((L14=""),(L21="")),"",L14*60/L21)</f>
      </c>
      <c r="M26" s="560">
        <f>IF(OR((L14=""),(M21="")),"",L14*60/M21)</f>
      </c>
    </row>
    <row r="27" spans="1:13" ht="13.5" thickBot="1">
      <c r="A27" s="543"/>
      <c r="B27" s="544"/>
      <c r="C27" s="544"/>
      <c r="D27" s="544"/>
      <c r="E27" s="481" t="s">
        <v>243</v>
      </c>
      <c r="F27" s="545">
        <f aca="true" t="shared" si="1" ref="F27:M27">IF(OR((F26=""),(F23="")),"",F26-F23)</f>
      </c>
      <c r="G27" s="561">
        <f t="shared" si="1"/>
      </c>
      <c r="H27" s="545">
        <f t="shared" si="1"/>
      </c>
      <c r="I27" s="561">
        <f t="shared" si="1"/>
      </c>
      <c r="J27" s="545">
        <f t="shared" si="1"/>
      </c>
      <c r="K27" s="561">
        <f t="shared" si="1"/>
      </c>
      <c r="L27" s="545">
        <f t="shared" si="1"/>
      </c>
      <c r="M27" s="561">
        <f t="shared" si="1"/>
      </c>
    </row>
    <row r="28" spans="1:13" ht="13.5" thickBot="1">
      <c r="A28" s="577" t="s">
        <v>244</v>
      </c>
      <c r="B28" s="372"/>
      <c r="C28" s="372"/>
      <c r="D28" s="372"/>
      <c r="E28" s="486"/>
      <c r="F28" s="401" t="s">
        <v>42</v>
      </c>
      <c r="G28" s="402" t="s">
        <v>43</v>
      </c>
      <c r="H28" s="401" t="s">
        <v>42</v>
      </c>
      <c r="I28" s="402" t="s">
        <v>43</v>
      </c>
      <c r="J28" s="401" t="s">
        <v>42</v>
      </c>
      <c r="K28" s="402" t="s">
        <v>43</v>
      </c>
      <c r="L28" s="401" t="s">
        <v>42</v>
      </c>
      <c r="M28" s="402" t="s">
        <v>43</v>
      </c>
    </row>
    <row r="29" spans="1:13" s="229" customFormat="1" ht="12.75">
      <c r="A29" s="121"/>
      <c r="B29" s="97"/>
      <c r="C29" s="97"/>
      <c r="D29" s="97"/>
      <c r="E29" s="484" t="s">
        <v>245</v>
      </c>
      <c r="F29" s="1177">
        <f>IF(OR((F19=""),(F14=""),(F15=""),($D11=""),(F25=""),($D10="")),"",(F14-F15)*$D11+F25*$D10/60)</f>
      </c>
      <c r="G29" s="1175">
        <f>IF(OR((G19=""),(F14=""),(F15=""),($D11=""),(G25=""),($D10="")),"",(F14-F15)*$D11+G25*$D10/60)</f>
      </c>
      <c r="H29" s="546">
        <f>IF(OR((H19=""),(H14=""),(H15=""),($D11=""),(H25=""),($D10="")),"",(H14-H15)*$D11+H25*$D10/60)</f>
      </c>
      <c r="I29" s="547">
        <f>IF(OR((I19=""),(H14=""),(H15=""),($D11=""),(I25=""),($D10="")),"",(H14-H15)*$D11+I25*$D10/60)</f>
      </c>
      <c r="J29" s="546">
        <f>IF(OR((J19=""),(J14=""),(J15=""),($D11=""),(J25=""),($D10="")),"",(J14-J15)*$D11+J25*$D10/60)</f>
      </c>
      <c r="K29" s="547">
        <f>IF(OR((K19=""),(J14=""),(J15=""),($D11=""),(K25=""),($D10="")),"",(J14-J15)*$D11+K25*$D10/60)</f>
      </c>
      <c r="L29" s="546">
        <f>IF(OR((L19=""),(L14=""),(L15=""),($D11=""),(L25=""),($D10="")),"",(L14-L15)*$D11+L25*$D10/60)</f>
      </c>
      <c r="M29" s="547">
        <f>IF(OR((M19=""),(L14=""),(L15=""),($D11=""),(M25=""),($D10="")),"",(L14-L15)*$D11+M25*$D10/60)</f>
      </c>
    </row>
    <row r="30" spans="1:13" ht="12.75">
      <c r="A30" s="156"/>
      <c r="B30" s="1"/>
      <c r="C30" s="97"/>
      <c r="D30" s="97"/>
      <c r="E30" s="484" t="s">
        <v>246</v>
      </c>
      <c r="F30" s="546">
        <f>IF(OR((F19=""),(F14=""),(F15=""),($E11=""),(F25=""),($E10="")),"",(F14-F15)*$E11+F25*$E10/60)</f>
      </c>
      <c r="G30" s="1175">
        <f>IF(OR((G19=""),(F14=""),(F15=""),($E11=""),(G25=""),($E10="")),"",(F14-F15)*$E11+G25*$E10/60)</f>
      </c>
      <c r="H30" s="546">
        <f>IF(OR((H19=""),(H14=""),(H15=""),($E11=""),(H25=""),($E10="")),"",(H14-H15)*$E11+H25*$E10/60)</f>
      </c>
      <c r="I30" s="547">
        <f>IF(OR((I19=""),(H14=""),(H15=""),($E11=""),(I25=""),($E10="")),"",(H14-H15)*$E11+I25*$E10/60)</f>
      </c>
      <c r="J30" s="546">
        <f>IF(OR((J19=""),(J14=""),(J15=""),($E11=""),(J25=""),($E10="")),"",(J14-J15)*$E11+J25*$E10/60)</f>
      </c>
      <c r="K30" s="547">
        <f>IF(OR((K19=""),(J14=""),(J15=""),($E11=""),(K25=""),($E10="")),"",(J14-J15)*$E11+K25*$E10/60)</f>
      </c>
      <c r="L30" s="546">
        <f>IF(OR((L19=""),(L14=""),(L15=""),($E11=""),(L25=""),($E10="")),"",(L14-L15)*$E11+L25*$E10/60)</f>
      </c>
      <c r="M30" s="547">
        <f>IF(OR((M19=""),(L14=""),(L15=""),($E11=""),(M25=""),($E10="")),"",(L14-L15)*$E11+M25*$E10/60)</f>
      </c>
    </row>
    <row r="31" spans="1:13" ht="12.75">
      <c r="A31" s="156"/>
      <c r="B31" s="1"/>
      <c r="C31" s="97"/>
      <c r="D31" s="97"/>
      <c r="E31" s="484" t="s">
        <v>247</v>
      </c>
      <c r="F31" s="546">
        <f>IF(OR((F19=""),(F14=""),(F15=""),($D11=""),(F27=""),($D10="")),"",(F14-F15)*$D11+F27*$D10/60)</f>
      </c>
      <c r="G31" s="1175">
        <f>IF(OR((G19=""),(F14=""),(F15=""),($D11=""),(G27=""),($D10="")),"",(F14-F15)*$D11+G27*$D10/60)</f>
      </c>
      <c r="H31" s="546">
        <f>IF(OR((H19=""),(H14=""),(H15=""),($D11=""),(H27=""),($D10="")),"",(H14-H15)*$D11+H27*$D10/60)</f>
      </c>
      <c r="I31" s="547">
        <f>IF(OR((I19=""),(H14=""),(H15=""),($D11=""),(I27=""),($D10="")),"",(H14-H15)*$D11+I27*$D10/60)</f>
      </c>
      <c r="J31" s="546">
        <f>IF(OR((J19=""),(J14=""),(J15=""),($D11=""),(J27=""),($D10="")),"",(J14-J15)*$D11+J27*$D10/60)</f>
      </c>
      <c r="K31" s="547">
        <f>IF(OR((K19=""),(J14=""),(J15=""),($D11=""),(K27=""),($D10="")),"",(J14-J15)*$D11+K27*$D10/60)</f>
      </c>
      <c r="L31" s="546">
        <f>IF(OR((L19=""),(L14=""),(L15=""),($D11=""),(L27=""),($D10="")),"",(L14-L15)*$D11+L27*$D10/60)</f>
      </c>
      <c r="M31" s="547">
        <f>IF(OR((M19=""),(L14=""),(L15=""),($D11=""),(M27=""),($D10="")),"",(L14-L15)*$D11+M27*$D10/60)</f>
      </c>
    </row>
    <row r="32" spans="1:13" ht="13.5" thickBot="1">
      <c r="A32" s="548"/>
      <c r="B32" s="17"/>
      <c r="C32" s="544"/>
      <c r="D32" s="544"/>
      <c r="E32" s="484" t="s">
        <v>248</v>
      </c>
      <c r="F32" s="549">
        <f>IF(OR((F19=""),(F14=""),(F15=""),($E11=""),(F27=""),($E10="")),"",(F14-F15)*$E11+F27*$E10/60)</f>
      </c>
      <c r="G32" s="1176">
        <f>IF(OR((G19=""),(F14=""),(F15=""),($E11=""),(G27=""),($E10="")),"",(F14-F15)*$E11+G27*$E10/60)</f>
      </c>
      <c r="H32" s="549">
        <f>IF(OR((H19=""),(H14=""),(H15=""),($E11=""),(H27=""),($E10="")),"",(H14-H15)*$E11+H27*$E10/60)</f>
      </c>
      <c r="I32" s="550">
        <f>IF(OR((I19=""),(H14=""),(H15=""),($E11=""),(I27=""),($E10="")),"",(H14-H15)*$E11+I27*$E10/60)</f>
      </c>
      <c r="J32" s="549">
        <f>IF(OR((J19=""),(J14=""),(J15=""),($E11=""),(J27=""),($E10="")),"",(J14-J15)*$E11+J27*$E10/60)</f>
      </c>
      <c r="K32" s="550">
        <f>IF(OR((K19=""),(J14=""),(J15=""),($E11=""),(K27=""),($E10="")),"",(J14-J15)*$E11+K27*$E10/60)</f>
      </c>
      <c r="L32" s="549">
        <f>IF(OR((L19=""),(L14=""),(L15=""),($E11=""),(L27=""),($E10="")),"",(L14-L15)*$E11+L27*$E10/60)</f>
      </c>
      <c r="M32" s="550">
        <f>IF(OR((M19=""),(L14=""),(L15=""),($E11=""),(M27=""),($E10="")),"",(L14-L15)*$E11+M27*$E10/60)</f>
      </c>
    </row>
    <row r="33" spans="1:13" ht="13.5" thickBot="1">
      <c r="A33" s="558" t="s">
        <v>249</v>
      </c>
      <c r="B33" s="372"/>
      <c r="C33" s="372"/>
      <c r="D33" s="372"/>
      <c r="E33" s="486"/>
      <c r="F33" s="372"/>
      <c r="G33" s="557"/>
      <c r="H33" s="372"/>
      <c r="I33" s="557"/>
      <c r="J33" s="372"/>
      <c r="K33" s="557"/>
      <c r="L33" s="372"/>
      <c r="M33" s="557"/>
    </row>
    <row r="34" spans="1:13" ht="12.75">
      <c r="A34" s="552"/>
      <c r="B34" s="85"/>
      <c r="C34" s="120"/>
      <c r="D34" s="120"/>
      <c r="E34" s="482" t="s">
        <v>254</v>
      </c>
      <c r="F34" s="541">
        <f>IF(OR((F16=""),(G16="")),"",F16*60/G16)</f>
      </c>
      <c r="G34" s="553"/>
      <c r="H34" s="541">
        <f>IF(OR((H16=""),(I16="")),"",H16*60/I16)</f>
      </c>
      <c r="I34" s="553"/>
      <c r="J34" s="541">
        <f>IF(OR((J16=""),(K16="")),"",J16*60/K16)</f>
      </c>
      <c r="K34" s="553"/>
      <c r="L34" s="541">
        <f>IF(OR((L16=""),(M16="")),"",L16*60/M16)</f>
      </c>
      <c r="M34" s="553"/>
    </row>
    <row r="35" spans="1:13" ht="12.75">
      <c r="A35" s="156"/>
      <c r="B35" s="97"/>
      <c r="C35" s="97"/>
      <c r="D35" s="97"/>
      <c r="E35" s="484" t="s">
        <v>255</v>
      </c>
      <c r="F35" s="542">
        <f>IF(OR((F17=""),(G17="")),"",F17*60/G17)</f>
      </c>
      <c r="G35" s="41"/>
      <c r="H35" s="542">
        <f>IF(OR((H17=""),(I17="")),"",H17*60/I17)</f>
      </c>
      <c r="I35" s="41"/>
      <c r="J35" s="542">
        <f>IF(OR((J17=""),(K17="")),"",J17*60/K17)</f>
      </c>
      <c r="K35" s="41"/>
      <c r="L35" s="542">
        <f>IF(OR((L17=""),(M17="")),"",L17*60/M17)</f>
      </c>
      <c r="M35" s="41"/>
    </row>
    <row r="36" spans="1:13" ht="12.75">
      <c r="A36" s="156"/>
      <c r="B36" s="97"/>
      <c r="C36" s="97"/>
      <c r="D36" s="97"/>
      <c r="E36" s="484" t="s">
        <v>251</v>
      </c>
      <c r="F36" s="542">
        <f>IF(OR((F34=""),(F35="")),"",F34-F35)</f>
      </c>
      <c r="G36" s="41"/>
      <c r="H36" s="542">
        <f>IF(OR((H34=""),(H35="")),"",H34-H35)</f>
      </c>
      <c r="I36" s="41"/>
      <c r="J36" s="542">
        <f>IF(OR((J34=""),(J35="")),"",J34-J35)</f>
      </c>
      <c r="K36" s="41"/>
      <c r="L36" s="542">
        <f>IF(OR((L34=""),(L35="")),"",L34-L35)</f>
      </c>
      <c r="M36" s="41"/>
    </row>
    <row r="37" spans="1:13" ht="13.5" thickBot="1">
      <c r="A37" s="548"/>
      <c r="B37" s="544"/>
      <c r="C37" s="544"/>
      <c r="D37" s="544"/>
      <c r="E37" s="481" t="s">
        <v>252</v>
      </c>
      <c r="F37" s="554">
        <f>IF(OR((F16=""),(F17="")),"",F16-F17)</f>
      </c>
      <c r="G37" s="193"/>
      <c r="H37" s="554">
        <f>IF(OR((H16=""),(H17="")),"",H16-H17)</f>
      </c>
      <c r="I37" s="193"/>
      <c r="J37" s="554">
        <f>IF(OR((J16=""),(J17="")),"",J16-J17)</f>
      </c>
      <c r="K37" s="193"/>
      <c r="L37" s="554">
        <f>IF(OR((L16=""),(L17="")),"",L16-L17)</f>
      </c>
      <c r="M37" s="193"/>
    </row>
    <row r="38" spans="1:13" ht="13.5" thickBot="1">
      <c r="A38" s="558" t="s">
        <v>253</v>
      </c>
      <c r="B38" s="557"/>
      <c r="C38" s="204"/>
      <c r="D38" s="204"/>
      <c r="E38" s="475"/>
      <c r="F38" s="578" t="s">
        <v>13</v>
      </c>
      <c r="G38" s="579" t="s">
        <v>14</v>
      </c>
      <c r="H38" s="578" t="s">
        <v>13</v>
      </c>
      <c r="I38" s="579" t="s">
        <v>14</v>
      </c>
      <c r="J38" s="578" t="s">
        <v>13</v>
      </c>
      <c r="K38" s="579" t="s">
        <v>14</v>
      </c>
      <c r="L38" s="578" t="s">
        <v>13</v>
      </c>
      <c r="M38" s="579" t="s">
        <v>14</v>
      </c>
    </row>
    <row r="39" spans="1:13" ht="12.75">
      <c r="A39" s="551"/>
      <c r="B39" s="3"/>
      <c r="C39" s="97"/>
      <c r="D39" s="97"/>
      <c r="E39" s="82" t="s">
        <v>254</v>
      </c>
      <c r="F39" s="580">
        <f>IF(OR((F36=""),($D10="")),"",F36*$D10/60)</f>
      </c>
      <c r="G39" s="581">
        <f>IF(OR((F36=""),($E10="")),"",F36*$E10/60)</f>
      </c>
      <c r="H39" s="580">
        <f>IF(OR((H36=""),($D10="")),"",H36*$D10/60)</f>
      </c>
      <c r="I39" s="581">
        <f>IF(OR((H36=""),($E10="")),"",H36*$E10/60)</f>
      </c>
      <c r="J39" s="580">
        <f>IF(OR((J36=""),($D10="")),"",J36*$D10/60)</f>
      </c>
      <c r="K39" s="581">
        <f>IF(OR((J36=""),($E10="")),"",J36*$E10/60)</f>
      </c>
      <c r="L39" s="580">
        <f>IF(OR((L36=""),($D10="")),"",L36*$D10/60)</f>
      </c>
      <c r="M39" s="581">
        <f>IF(OR((L36=""),($E10="")),"",L36*$E10/60)</f>
      </c>
    </row>
    <row r="40" spans="1:13" ht="12.75">
      <c r="A40" s="551"/>
      <c r="B40" s="3"/>
      <c r="C40" s="97"/>
      <c r="D40" s="97"/>
      <c r="E40" s="82" t="s">
        <v>255</v>
      </c>
      <c r="F40" s="580">
        <f>+IF(OR((F37=""),($D11="")),"",F37*$D11)</f>
      </c>
      <c r="G40" s="581">
        <f>+IF(OR((F37=""),($E11="")),"",F37*$E11)</f>
      </c>
      <c r="H40" s="580">
        <f>+IF(OR((H37=""),($D11="")),"",H37*$D11)</f>
      </c>
      <c r="I40" s="581">
        <f>+IF(OR((H37=""),($E11="")),"",H37*$E11)</f>
      </c>
      <c r="J40" s="580">
        <f>+IF(OR((J37=""),($D11="")),"",J37*$D11)</f>
      </c>
      <c r="K40" s="581">
        <f>+IF(OR((J37=""),($E11="")),"",J37*$E11)</f>
      </c>
      <c r="L40" s="580">
        <f>+IF(OR((L37=""),($D11="")),"",L37*$D11)</f>
      </c>
      <c r="M40" s="581">
        <f>+IF(OR((L37=""),($E11="")),"",L37*$E11)</f>
      </c>
    </row>
    <row r="41" spans="1:13" ht="12.75">
      <c r="A41" s="156"/>
      <c r="B41" s="3"/>
      <c r="C41" s="3"/>
      <c r="D41" s="3"/>
      <c r="E41" s="484" t="s">
        <v>256</v>
      </c>
      <c r="F41" s="546">
        <f aca="true" t="shared" si="2" ref="F41:M41">IF(OR((F39=""),(F40="")),"",SUM(F39:F40))</f>
      </c>
      <c r="G41" s="547">
        <f t="shared" si="2"/>
      </c>
      <c r="H41" s="546">
        <f t="shared" si="2"/>
      </c>
      <c r="I41" s="547">
        <f t="shared" si="2"/>
      </c>
      <c r="J41" s="546">
        <f t="shared" si="2"/>
      </c>
      <c r="K41" s="547">
        <f t="shared" si="2"/>
      </c>
      <c r="L41" s="546">
        <f t="shared" si="2"/>
      </c>
      <c r="M41" s="547">
        <f t="shared" si="2"/>
      </c>
    </row>
    <row r="42" spans="1:13" ht="13.5" thickBot="1">
      <c r="A42" s="548"/>
      <c r="B42" s="555"/>
      <c r="C42" s="555"/>
      <c r="D42" s="555"/>
      <c r="E42" s="90" t="s">
        <v>257</v>
      </c>
      <c r="F42" s="134">
        <f>IF(OR((F41=""),(F31=""),($D10="")),"",(F41-F31)/($D10/60))</f>
      </c>
      <c r="G42" s="582">
        <f>IF(OR((G41=""),(F32=""),($E10="")),"",(G41-F32)/($E10/60))</f>
      </c>
      <c r="H42" s="134">
        <f>IF(OR((H41=""),(H31=""),($D10="")),"",(H41-H31)/($D10/60))</f>
      </c>
      <c r="I42" s="582">
        <f>IF(OR((I41=""),(H32=""),($E10="")),"",(I41-H32)/($E10/60))</f>
      </c>
      <c r="J42" s="134">
        <f>IF(OR((J41=""),(J31=""),($D10="")),"",(J41-J31)/($D10/60))</f>
      </c>
      <c r="K42" s="582">
        <f>IF(OR((K41=""),(J32=""),($E10="")),"",(K41-J32)/($E10/60))</f>
      </c>
      <c r="L42" s="134">
        <f>IF(OR((L41=""),(L31=""),($D10="")),"",(L41-L31)/($D10/60))</f>
      </c>
      <c r="M42" s="582">
        <f>IF(OR((M41=""),(L32=""),($E10="")),"",(M41-L32)/($E10/60))</f>
      </c>
    </row>
    <row r="43" spans="1:13" ht="13.5" thickBot="1">
      <c r="A43" s="3"/>
      <c r="B43" s="3"/>
      <c r="C43" s="3"/>
      <c r="D43" s="3"/>
      <c r="E43" s="82"/>
      <c r="F43" s="583"/>
      <c r="G43" s="583"/>
      <c r="H43" s="583"/>
      <c r="I43" s="583"/>
      <c r="J43" s="583"/>
      <c r="K43" s="583"/>
      <c r="L43" s="583"/>
      <c r="M43" s="583"/>
    </row>
    <row r="44" spans="1:14" ht="16.5" thickBot="1">
      <c r="A44" s="521" t="s">
        <v>258</v>
      </c>
      <c r="B44" s="521"/>
      <c r="C44" s="1122"/>
      <c r="D44" s="1122"/>
      <c r="E44" s="1122"/>
      <c r="F44" s="1123"/>
      <c r="G44" s="1124" t="s">
        <v>532</v>
      </c>
      <c r="H44" s="1125"/>
      <c r="I44" s="1126"/>
      <c r="J44" s="1126"/>
      <c r="K44" s="1127"/>
      <c r="L44" s="1127"/>
      <c r="M44" s="1127"/>
      <c r="N44" s="1128"/>
    </row>
    <row r="45" spans="1:14" ht="13.5" thickBot="1">
      <c r="A45" s="1129" t="s">
        <v>259</v>
      </c>
      <c r="B45" s="1130"/>
      <c r="C45" s="1130"/>
      <c r="D45" s="1130"/>
      <c r="E45" s="1130"/>
      <c r="F45" s="1130"/>
      <c r="G45" s="1131"/>
      <c r="H45" s="1129" t="s">
        <v>260</v>
      </c>
      <c r="I45" s="1130"/>
      <c r="J45" s="1130"/>
      <c r="K45" s="1130"/>
      <c r="L45" s="1130"/>
      <c r="M45" s="1130"/>
      <c r="N45" s="1131"/>
    </row>
    <row r="46" spans="1:14" s="522" customFormat="1" ht="12.75">
      <c r="A46" s="1132" t="s">
        <v>261</v>
      </c>
      <c r="B46" s="1133"/>
      <c r="C46" s="1133"/>
      <c r="D46" s="1134"/>
      <c r="E46" s="1129" t="s">
        <v>262</v>
      </c>
      <c r="F46" s="1130"/>
      <c r="G46" s="1131"/>
      <c r="H46" s="1132" t="s">
        <v>261</v>
      </c>
      <c r="I46" s="1133"/>
      <c r="J46" s="1133"/>
      <c r="K46" s="1134"/>
      <c r="L46" s="1129" t="s">
        <v>262</v>
      </c>
      <c r="M46" s="1130"/>
      <c r="N46" s="1131"/>
    </row>
    <row r="47" spans="1:14" s="229" customFormat="1" ht="42" customHeight="1" thickBot="1">
      <c r="A47" s="1156" t="s">
        <v>533</v>
      </c>
      <c r="B47" s="1157" t="s">
        <v>534</v>
      </c>
      <c r="C47" s="1157" t="s">
        <v>263</v>
      </c>
      <c r="D47" s="1158" t="s">
        <v>264</v>
      </c>
      <c r="E47" s="1159" t="s">
        <v>265</v>
      </c>
      <c r="F47" s="1160" t="s">
        <v>266</v>
      </c>
      <c r="G47" s="1161" t="s">
        <v>535</v>
      </c>
      <c r="H47" s="1156" t="s">
        <v>533</v>
      </c>
      <c r="I47" s="1157" t="s">
        <v>534</v>
      </c>
      <c r="J47" s="1157" t="s">
        <v>263</v>
      </c>
      <c r="K47" s="1158" t="s">
        <v>264</v>
      </c>
      <c r="L47" s="1159" t="s">
        <v>265</v>
      </c>
      <c r="M47" s="1160" t="s">
        <v>266</v>
      </c>
      <c r="N47" s="1161" t="s">
        <v>535</v>
      </c>
    </row>
    <row r="48" spans="1:14" s="522" customFormat="1" ht="12.75">
      <c r="A48" s="1135"/>
      <c r="B48" s="1136"/>
      <c r="C48" s="1136"/>
      <c r="D48" s="1137"/>
      <c r="E48" s="1138">
        <f>C48*60/(D48+0.000001)</f>
        <v>0</v>
      </c>
      <c r="F48" s="1139">
        <f>B48*C48</f>
        <v>0</v>
      </c>
      <c r="G48" s="1140">
        <f>B48*E48</f>
        <v>0</v>
      </c>
      <c r="H48" s="1135"/>
      <c r="I48" s="1136"/>
      <c r="J48" s="1136"/>
      <c r="K48" s="1137"/>
      <c r="L48" s="1138">
        <f>J48*60/(K48+0.000001)</f>
        <v>0</v>
      </c>
      <c r="M48" s="1139">
        <f>I48*J48</f>
        <v>0</v>
      </c>
      <c r="N48" s="1140">
        <f>I48*L48</f>
        <v>0</v>
      </c>
    </row>
    <row r="49" spans="1:14" ht="12.75">
      <c r="A49" s="1135"/>
      <c r="B49" s="1136"/>
      <c r="C49" s="1136"/>
      <c r="D49" s="1137"/>
      <c r="E49" s="1138">
        <f aca="true" t="shared" si="3" ref="E49:E57">C49*60/(D49+0.000001)</f>
        <v>0</v>
      </c>
      <c r="F49" s="1139">
        <f aca="true" t="shared" si="4" ref="F49:F55">B49*C49</f>
        <v>0</v>
      </c>
      <c r="G49" s="1140">
        <f aca="true" t="shared" si="5" ref="G49:G55">B49*E49</f>
        <v>0</v>
      </c>
      <c r="H49" s="1135"/>
      <c r="I49" s="1136"/>
      <c r="J49" s="1136"/>
      <c r="K49" s="1137"/>
      <c r="L49" s="1138">
        <f aca="true" t="shared" si="6" ref="L49:L57">J49*60/(K49+0.000001)</f>
        <v>0</v>
      </c>
      <c r="M49" s="1139">
        <f aca="true" t="shared" si="7" ref="M49:M55">I49*J49</f>
        <v>0</v>
      </c>
      <c r="N49" s="1140">
        <f aca="true" t="shared" si="8" ref="N49:N55">I49*L49</f>
        <v>0</v>
      </c>
    </row>
    <row r="50" spans="1:14" ht="12.75">
      <c r="A50" s="1141"/>
      <c r="B50" s="1120"/>
      <c r="C50" s="1120"/>
      <c r="D50" s="1121"/>
      <c r="E50" s="1138">
        <f t="shared" si="3"/>
        <v>0</v>
      </c>
      <c r="F50" s="1142">
        <f t="shared" si="4"/>
        <v>0</v>
      </c>
      <c r="G50" s="1140">
        <f t="shared" si="5"/>
        <v>0</v>
      </c>
      <c r="H50" s="1141"/>
      <c r="I50" s="1120"/>
      <c r="J50" s="1120"/>
      <c r="K50" s="1121"/>
      <c r="L50" s="1138">
        <f t="shared" si="6"/>
        <v>0</v>
      </c>
      <c r="M50" s="1142">
        <f t="shared" si="7"/>
        <v>0</v>
      </c>
      <c r="N50" s="1140">
        <f t="shared" si="8"/>
        <v>0</v>
      </c>
    </row>
    <row r="51" spans="1:14" ht="12.75">
      <c r="A51" s="1141"/>
      <c r="B51" s="1120"/>
      <c r="C51" s="1120"/>
      <c r="D51" s="1121"/>
      <c r="E51" s="1138">
        <f t="shared" si="3"/>
        <v>0</v>
      </c>
      <c r="F51" s="1142">
        <f t="shared" si="4"/>
        <v>0</v>
      </c>
      <c r="G51" s="1140">
        <f t="shared" si="5"/>
        <v>0</v>
      </c>
      <c r="H51" s="1141"/>
      <c r="I51" s="1120"/>
      <c r="J51" s="1120"/>
      <c r="K51" s="1121"/>
      <c r="L51" s="1138">
        <f t="shared" si="6"/>
        <v>0</v>
      </c>
      <c r="M51" s="1142">
        <f t="shared" si="7"/>
        <v>0</v>
      </c>
      <c r="N51" s="1140">
        <f t="shared" si="8"/>
        <v>0</v>
      </c>
    </row>
    <row r="52" spans="1:14" ht="12.75">
      <c r="A52" s="1141"/>
      <c r="B52" s="1120"/>
      <c r="C52" s="1120"/>
      <c r="D52" s="1121"/>
      <c r="E52" s="1138">
        <f t="shared" si="3"/>
        <v>0</v>
      </c>
      <c r="F52" s="1142">
        <f t="shared" si="4"/>
        <v>0</v>
      </c>
      <c r="G52" s="1140">
        <f t="shared" si="5"/>
        <v>0</v>
      </c>
      <c r="H52" s="1141"/>
      <c r="I52" s="1120"/>
      <c r="J52" s="1120"/>
      <c r="K52" s="1121"/>
      <c r="L52" s="1138">
        <f t="shared" si="6"/>
        <v>0</v>
      </c>
      <c r="M52" s="1142">
        <f t="shared" si="7"/>
        <v>0</v>
      </c>
      <c r="N52" s="1140">
        <f t="shared" si="8"/>
        <v>0</v>
      </c>
    </row>
    <row r="53" spans="1:14" ht="12.75">
      <c r="A53" s="1141"/>
      <c r="B53" s="1120"/>
      <c r="C53" s="1120"/>
      <c r="D53" s="1121"/>
      <c r="E53" s="1138">
        <f t="shared" si="3"/>
        <v>0</v>
      </c>
      <c r="F53" s="1142">
        <f t="shared" si="4"/>
        <v>0</v>
      </c>
      <c r="G53" s="1140">
        <f t="shared" si="5"/>
        <v>0</v>
      </c>
      <c r="H53" s="1141"/>
      <c r="I53" s="1120"/>
      <c r="J53" s="1120"/>
      <c r="K53" s="1121"/>
      <c r="L53" s="1138">
        <f t="shared" si="6"/>
        <v>0</v>
      </c>
      <c r="M53" s="1142">
        <f t="shared" si="7"/>
        <v>0</v>
      </c>
      <c r="N53" s="1140">
        <f t="shared" si="8"/>
        <v>0</v>
      </c>
    </row>
    <row r="54" spans="1:14" ht="12.75">
      <c r="A54" s="1141"/>
      <c r="B54" s="1120"/>
      <c r="C54" s="1120"/>
      <c r="D54" s="1121"/>
      <c r="E54" s="1138">
        <f t="shared" si="3"/>
        <v>0</v>
      </c>
      <c r="F54" s="1142">
        <f t="shared" si="4"/>
        <v>0</v>
      </c>
      <c r="G54" s="1140">
        <f t="shared" si="5"/>
        <v>0</v>
      </c>
      <c r="H54" s="1141"/>
      <c r="I54" s="1120"/>
      <c r="J54" s="1120"/>
      <c r="K54" s="1121"/>
      <c r="L54" s="1138">
        <f t="shared" si="6"/>
        <v>0</v>
      </c>
      <c r="M54" s="1142">
        <f t="shared" si="7"/>
        <v>0</v>
      </c>
      <c r="N54" s="1140">
        <f t="shared" si="8"/>
        <v>0</v>
      </c>
    </row>
    <row r="55" spans="1:14" ht="13.5" thickBot="1">
      <c r="A55" s="1141"/>
      <c r="B55" s="1120"/>
      <c r="C55" s="1120"/>
      <c r="D55" s="1121"/>
      <c r="E55" s="1138">
        <f t="shared" si="3"/>
        <v>0</v>
      </c>
      <c r="F55" s="1142">
        <f t="shared" si="4"/>
        <v>0</v>
      </c>
      <c r="G55" s="1140">
        <f t="shared" si="5"/>
        <v>0</v>
      </c>
      <c r="H55" s="1141"/>
      <c r="I55" s="1120"/>
      <c r="J55" s="1120"/>
      <c r="K55" s="1121"/>
      <c r="L55" s="1138">
        <f t="shared" si="6"/>
        <v>0</v>
      </c>
      <c r="M55" s="1142">
        <f t="shared" si="7"/>
        <v>0</v>
      </c>
      <c r="N55" s="1140">
        <f t="shared" si="8"/>
        <v>0</v>
      </c>
    </row>
    <row r="56" spans="1:14" ht="13.5" thickBot="1">
      <c r="A56" s="1143" t="s">
        <v>267</v>
      </c>
      <c r="B56" s="1144">
        <f>SUM(B48:B55)</f>
        <v>0</v>
      </c>
      <c r="C56" s="1144"/>
      <c r="D56" s="1145"/>
      <c r="E56" s="1146"/>
      <c r="F56" s="1144">
        <f>SUM(F48:F55)</f>
        <v>0</v>
      </c>
      <c r="G56" s="1145">
        <f>SUM(G48:G55)</f>
        <v>0</v>
      </c>
      <c r="H56" s="1143" t="s">
        <v>267</v>
      </c>
      <c r="I56" s="1144">
        <f>SUM(I48:I55)</f>
        <v>0</v>
      </c>
      <c r="J56" s="1144"/>
      <c r="K56" s="1145"/>
      <c r="L56" s="1146"/>
      <c r="M56" s="1144">
        <f>SUM(M48:M55)</f>
        <v>0</v>
      </c>
      <c r="N56" s="1145">
        <f>SUM(N48:N55)</f>
        <v>0</v>
      </c>
    </row>
    <row r="57" spans="1:14" ht="13.5" thickBot="1">
      <c r="A57" s="1147" t="s">
        <v>268</v>
      </c>
      <c r="B57" s="1148"/>
      <c r="C57" s="1149">
        <f>F56</f>
        <v>0</v>
      </c>
      <c r="D57" s="1150" t="e">
        <f>F56*60/G56</f>
        <v>#DIV/0!</v>
      </c>
      <c r="E57" s="1151" t="e">
        <f t="shared" si="3"/>
        <v>#DIV/0!</v>
      </c>
      <c r="F57" s="1152"/>
      <c r="G57" s="1153"/>
      <c r="H57" s="1147" t="s">
        <v>268</v>
      </c>
      <c r="I57" s="1148"/>
      <c r="J57" s="1149">
        <f>M56</f>
        <v>0</v>
      </c>
      <c r="K57" s="1150" t="e">
        <f>M56*60/N56</f>
        <v>#DIV/0!</v>
      </c>
      <c r="L57" s="1151" t="e">
        <f t="shared" si="6"/>
        <v>#DIV/0!</v>
      </c>
      <c r="M57" s="1152"/>
      <c r="N57" s="1153"/>
    </row>
    <row r="58" spans="1:14" ht="13.5" thickBot="1">
      <c r="A58" s="875"/>
      <c r="B58" s="875"/>
      <c r="C58" s="875"/>
      <c r="D58" s="875"/>
      <c r="E58" s="875"/>
      <c r="F58" s="875"/>
      <c r="G58" s="875"/>
      <c r="H58" s="1154" t="s">
        <v>269</v>
      </c>
      <c r="I58" s="1155"/>
      <c r="J58" s="1144">
        <f>J57-C57</f>
        <v>0</v>
      </c>
      <c r="K58" s="1144" t="e">
        <f>K57-D57</f>
        <v>#DIV/0!</v>
      </c>
      <c r="L58" s="1145" t="e">
        <f>L57-E57</f>
        <v>#DIV/0!</v>
      </c>
      <c r="M58" s="1122"/>
      <c r="N58" s="1122"/>
    </row>
  </sheetData>
  <printOptions horizontalCentered="1" verticalCentered="1"/>
  <pageMargins left="0.75" right="0.75" top="1" bottom="1" header="0.5" footer="0.5"/>
  <pageSetup fitToHeight="1" fitToWidth="1" horizontalDpi="600" verticalDpi="600" orientation="portrait" r:id="rId2"/>
  <headerFooter alignWithMargins="0">
    <oddHeader>&amp;C&amp;A</oddHeader>
    <oddFooter>&amp;L&amp;"Arial,Bold"&amp;11&amp;F&amp;C&amp;"Arial,Bold"&amp;11&amp;A&amp;R&amp;"Arial,Bold"&amp;11&amp;D</oddFooter>
  </headerFooter>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T74"/>
  <sheetViews>
    <sheetView showGridLines="0" zoomScale="75" zoomScaleNormal="75" workbookViewId="0" topLeftCell="A16">
      <selection activeCell="A34" sqref="A34:B34"/>
    </sheetView>
  </sheetViews>
  <sheetFormatPr defaultColWidth="9.140625" defaultRowHeight="12.75"/>
  <cols>
    <col min="1" max="1" width="40.7109375" style="156" customWidth="1"/>
    <col min="2" max="3" width="8.7109375" style="5" customWidth="1"/>
    <col min="4" max="4" width="75.7109375" style="597" customWidth="1"/>
    <col min="5" max="5" width="6.140625" style="156" customWidth="1"/>
    <col min="6" max="6" width="6.00390625" style="5" customWidth="1"/>
    <col min="7" max="16384" width="5.57421875" style="5" customWidth="1"/>
  </cols>
  <sheetData>
    <row r="1" spans="1:4" ht="19.5" customHeight="1">
      <c r="A1" s="601" t="s">
        <v>285</v>
      </c>
      <c r="B1" s="602"/>
      <c r="C1" s="603" t="s">
        <v>229</v>
      </c>
      <c r="D1" s="598"/>
    </row>
    <row r="2" spans="1:4" ht="19.5" customHeight="1">
      <c r="A2" s="604"/>
      <c r="B2" s="600"/>
      <c r="C2" s="605" t="s">
        <v>230</v>
      </c>
      <c r="D2" s="599"/>
    </row>
    <row r="3" spans="1:4" ht="19.5" customHeight="1" thickBot="1">
      <c r="A3" s="606"/>
      <c r="B3" s="607"/>
      <c r="C3" s="608" t="s">
        <v>231</v>
      </c>
      <c r="D3" s="609"/>
    </row>
    <row r="4" spans="1:7" s="522" customFormat="1" ht="30" customHeight="1" thickBot="1">
      <c r="A4" s="610" t="s">
        <v>26</v>
      </c>
      <c r="B4" s="611" t="s">
        <v>286</v>
      </c>
      <c r="C4" s="612"/>
      <c r="D4" s="623"/>
      <c r="E4" s="638"/>
      <c r="F4" s="588"/>
      <c r="G4" s="588"/>
    </row>
    <row r="5" spans="1:7" s="617" customFormat="1" ht="19.5" customHeight="1" thickBot="1">
      <c r="A5" s="613" t="s">
        <v>31</v>
      </c>
      <c r="B5" s="614"/>
      <c r="C5" s="615"/>
      <c r="D5" s="623"/>
      <c r="E5" s="33"/>
      <c r="F5" s="616"/>
      <c r="G5" s="616"/>
    </row>
    <row r="6" spans="1:7" ht="13.5" thickBot="1">
      <c r="A6" s="525" t="s">
        <v>12</v>
      </c>
      <c r="B6" s="445" t="s">
        <v>13</v>
      </c>
      <c r="C6" s="446" t="s">
        <v>14</v>
      </c>
      <c r="D6" s="623"/>
      <c r="E6" s="12"/>
      <c r="F6"/>
      <c r="G6"/>
    </row>
    <row r="7" spans="1:5" ht="30" customHeight="1">
      <c r="A7" s="589" t="s">
        <v>17</v>
      </c>
      <c r="B7" s="384">
        <f>IF(C7="","",1-C7)</f>
      </c>
      <c r="C7" s="586"/>
      <c r="D7" s="624"/>
      <c r="E7" s="12"/>
    </row>
    <row r="8" spans="1:20" ht="30" customHeight="1">
      <c r="A8" s="590" t="s">
        <v>20</v>
      </c>
      <c r="B8" s="618">
        <v>10.79</v>
      </c>
      <c r="C8" s="619">
        <v>10.79</v>
      </c>
      <c r="D8" s="624" t="s">
        <v>287</v>
      </c>
      <c r="E8" s="12"/>
      <c r="F8"/>
      <c r="G8"/>
      <c r="H8"/>
      <c r="I8"/>
      <c r="J8"/>
      <c r="K8"/>
      <c r="L8"/>
      <c r="M8"/>
      <c r="N8"/>
      <c r="O8"/>
      <c r="P8"/>
      <c r="Q8"/>
      <c r="R8"/>
      <c r="S8"/>
      <c r="T8"/>
    </row>
    <row r="9" spans="1:20" ht="30" customHeight="1" thickBot="1">
      <c r="A9" s="591" t="s">
        <v>23</v>
      </c>
      <c r="B9" s="620">
        <v>0.3</v>
      </c>
      <c r="C9" s="621">
        <v>1</v>
      </c>
      <c r="D9" s="624" t="s">
        <v>287</v>
      </c>
      <c r="E9" s="12"/>
      <c r="F9"/>
      <c r="G9"/>
      <c r="H9"/>
      <c r="I9"/>
      <c r="J9"/>
      <c r="K9"/>
      <c r="L9"/>
      <c r="M9"/>
      <c r="N9"/>
      <c r="O9"/>
      <c r="P9"/>
      <c r="Q9"/>
      <c r="R9"/>
      <c r="S9"/>
      <c r="T9"/>
    </row>
    <row r="10" spans="1:5" ht="30" customHeight="1" thickBot="1">
      <c r="A10" s="592" t="s">
        <v>25</v>
      </c>
      <c r="B10" s="584"/>
      <c r="C10" s="585"/>
      <c r="D10" s="624"/>
      <c r="E10" s="12"/>
    </row>
    <row r="11" spans="1:13" ht="19.5" customHeight="1" thickBot="1">
      <c r="A11" s="525" t="s">
        <v>233</v>
      </c>
      <c r="B11" s="394" t="s">
        <v>288</v>
      </c>
      <c r="C11" s="393"/>
      <c r="D11" s="625"/>
      <c r="E11" s="12"/>
      <c r="F11"/>
      <c r="G11"/>
      <c r="H11"/>
      <c r="I11"/>
      <c r="J11"/>
      <c r="K11"/>
      <c r="L11"/>
      <c r="M11"/>
    </row>
    <row r="12" spans="1:13" ht="13.5" thickBot="1">
      <c r="A12" s="529" t="s">
        <v>235</v>
      </c>
      <c r="B12" s="531" t="s">
        <v>34</v>
      </c>
      <c r="C12" s="532" t="s">
        <v>35</v>
      </c>
      <c r="D12" s="623"/>
      <c r="E12" s="12"/>
      <c r="F12"/>
      <c r="G12"/>
      <c r="H12"/>
      <c r="I12"/>
      <c r="J12"/>
      <c r="K12"/>
      <c r="L12"/>
      <c r="M12"/>
    </row>
    <row r="13" spans="1:13" ht="30" customHeight="1">
      <c r="A13" s="593" t="s">
        <v>289</v>
      </c>
      <c r="B13" s="533"/>
      <c r="C13" s="562" t="s">
        <v>38</v>
      </c>
      <c r="D13" s="624"/>
      <c r="E13" s="12"/>
      <c r="F13"/>
      <c r="G13"/>
      <c r="H13"/>
      <c r="I13"/>
      <c r="J13"/>
      <c r="K13"/>
      <c r="L13"/>
      <c r="M13"/>
    </row>
    <row r="14" spans="1:13" ht="30" customHeight="1" thickBot="1">
      <c r="A14" s="594" t="s">
        <v>290</v>
      </c>
      <c r="B14" s="535"/>
      <c r="C14" s="536"/>
      <c r="D14" s="624"/>
      <c r="E14" s="12"/>
      <c r="F14"/>
      <c r="G14"/>
      <c r="H14"/>
      <c r="I14"/>
      <c r="J14"/>
      <c r="K14"/>
      <c r="L14"/>
      <c r="M14"/>
    </row>
    <row r="15" spans="1:13" ht="30" customHeight="1">
      <c r="A15" s="593" t="s">
        <v>291</v>
      </c>
      <c r="B15" s="533"/>
      <c r="C15" s="563"/>
      <c r="D15" s="624"/>
      <c r="E15" s="12"/>
      <c r="F15"/>
      <c r="G15"/>
      <c r="H15"/>
      <c r="I15"/>
      <c r="J15"/>
      <c r="K15"/>
      <c r="L15"/>
      <c r="M15"/>
    </row>
    <row r="16" spans="1:13" ht="30" customHeight="1" thickBot="1">
      <c r="A16" s="594" t="s">
        <v>292</v>
      </c>
      <c r="B16" s="533"/>
      <c r="C16" s="538"/>
      <c r="D16" s="626"/>
      <c r="E16" s="12"/>
      <c r="F16"/>
      <c r="G16"/>
      <c r="H16"/>
      <c r="I16"/>
      <c r="J16"/>
      <c r="K16"/>
      <c r="L16"/>
      <c r="M16"/>
    </row>
    <row r="17" spans="1:14" ht="13.5" thickBot="1">
      <c r="A17" s="525" t="s">
        <v>236</v>
      </c>
      <c r="B17" s="401" t="s">
        <v>42</v>
      </c>
      <c r="C17" s="402" t="s">
        <v>43</v>
      </c>
      <c r="D17" s="626"/>
      <c r="E17" s="12"/>
      <c r="F17"/>
      <c r="G17"/>
      <c r="H17"/>
      <c r="I17"/>
      <c r="J17"/>
      <c r="K17"/>
      <c r="L17"/>
      <c r="M17"/>
      <c r="N17"/>
    </row>
    <row r="18" spans="1:14" ht="30" customHeight="1">
      <c r="A18" s="590" t="s">
        <v>237</v>
      </c>
      <c r="B18" s="539"/>
      <c r="C18" s="564"/>
      <c r="D18" s="627"/>
      <c r="E18" s="12"/>
      <c r="F18"/>
      <c r="G18"/>
      <c r="H18"/>
      <c r="I18"/>
      <c r="J18"/>
      <c r="K18"/>
      <c r="L18"/>
      <c r="M18"/>
      <c r="N18"/>
    </row>
    <row r="19" spans="1:14" ht="30" customHeight="1">
      <c r="A19" s="590" t="s">
        <v>45</v>
      </c>
      <c r="B19" s="539"/>
      <c r="C19" s="538"/>
      <c r="D19" s="624"/>
      <c r="E19" s="12"/>
      <c r="F19"/>
      <c r="G19"/>
      <c r="H19"/>
      <c r="I19"/>
      <c r="J19"/>
      <c r="K19"/>
      <c r="L19"/>
      <c r="M19"/>
      <c r="N19"/>
    </row>
    <row r="20" spans="1:14" ht="30" customHeight="1" thickBot="1">
      <c r="A20" s="591" t="s">
        <v>46</v>
      </c>
      <c r="B20" s="540"/>
      <c r="C20" s="537"/>
      <c r="D20" s="624"/>
      <c r="E20" s="12"/>
      <c r="F20"/>
      <c r="G20"/>
      <c r="H20"/>
      <c r="I20"/>
      <c r="J20"/>
      <c r="K20"/>
      <c r="L20"/>
      <c r="M20"/>
      <c r="N20"/>
    </row>
    <row r="21" spans="1:9" ht="13.5" thickBot="1">
      <c r="A21" s="525" t="s">
        <v>238</v>
      </c>
      <c r="B21" s="401" t="s">
        <v>42</v>
      </c>
      <c r="C21" s="402" t="s">
        <v>43</v>
      </c>
      <c r="D21" s="626"/>
      <c r="E21" s="12"/>
      <c r="F21"/>
      <c r="G21"/>
      <c r="H21"/>
      <c r="I21"/>
    </row>
    <row r="22" spans="1:9" ht="12.75">
      <c r="A22" s="96" t="s">
        <v>239</v>
      </c>
      <c r="B22" s="542">
        <f>IF(OR((B14=""),(C14="")),"",B14*60/C14)</f>
      </c>
      <c r="C22" s="560">
        <f>IF(OR((B14=""),(C14=""),AND((C19=""),(C20=""))),"",B14*60/C14)</f>
      </c>
      <c r="D22" s="623"/>
      <c r="E22" s="12"/>
      <c r="F22"/>
      <c r="G22"/>
      <c r="H22"/>
      <c r="I22"/>
    </row>
    <row r="23" spans="1:9" ht="12.75">
      <c r="A23" s="96" t="s">
        <v>240</v>
      </c>
      <c r="B23" s="542">
        <f>IF(OR((B13=""),(B19="")),"",B13*60/B19)</f>
      </c>
      <c r="C23" s="560">
        <f>IF(OR((B13=""),(C19="")),"",B13*60/C19)</f>
      </c>
      <c r="D23" s="623"/>
      <c r="E23" s="12"/>
      <c r="I23"/>
    </row>
    <row r="24" spans="1:9" ht="12.75">
      <c r="A24" s="96" t="s">
        <v>241</v>
      </c>
      <c r="B24" s="542">
        <f>IF(OR((B23=""),(B22="")),"",B23-B22)</f>
      </c>
      <c r="C24" s="560">
        <f>IF(OR((C23=""),(C22="")),"",C23-C22)</f>
      </c>
      <c r="D24" s="623"/>
      <c r="E24" s="12"/>
      <c r="F24"/>
      <c r="G24"/>
      <c r="H24"/>
      <c r="I24"/>
    </row>
    <row r="25" spans="1:9" ht="12.75">
      <c r="A25" s="96" t="s">
        <v>242</v>
      </c>
      <c r="B25" s="542">
        <f>IF(OR((B13=""),(B20="")),"",B13*60/B20)</f>
      </c>
      <c r="C25" s="560">
        <f>IF(OR((B13=""),(C20="")),"",B13*60/C20)</f>
      </c>
      <c r="D25" s="623"/>
      <c r="E25" s="12"/>
      <c r="F25"/>
      <c r="G25"/>
      <c r="H25"/>
      <c r="I25"/>
    </row>
    <row r="26" spans="1:9" ht="13.5" thickBot="1">
      <c r="A26" s="595" t="s">
        <v>243</v>
      </c>
      <c r="B26" s="545">
        <f>IF(OR((B25=""),(B22="")),"",B25-B22)</f>
      </c>
      <c r="C26" s="561">
        <f>IF(OR((C25=""),(C22="")),"",C25-C22)</f>
      </c>
      <c r="D26" s="627"/>
      <c r="E26" s="12"/>
      <c r="F26"/>
      <c r="G26"/>
      <c r="H26"/>
      <c r="I26"/>
    </row>
    <row r="27" spans="1:9" ht="13.5" thickBot="1">
      <c r="A27" s="227" t="s">
        <v>244</v>
      </c>
      <c r="B27" s="401" t="s">
        <v>42</v>
      </c>
      <c r="C27" s="402" t="s">
        <v>43</v>
      </c>
      <c r="D27" s="626"/>
      <c r="E27" s="12"/>
      <c r="F27"/>
      <c r="G27"/>
      <c r="H27"/>
      <c r="I27"/>
    </row>
    <row r="28" spans="1:9" s="229" customFormat="1" ht="12.75">
      <c r="A28" s="96" t="s">
        <v>245</v>
      </c>
      <c r="B28" s="546">
        <f>IF(OR((B13=""),(B14=""),($B9=""),(B24=""),($B8="")),"",(B13-B14)*$B9+B24*$B8/60)</f>
      </c>
      <c r="C28" s="639">
        <f>IF(OR((B13=""),(B14=""),($B9=""),(C24=""),($B8="")),"",(B13-B14)*$B9+C24*$B8/60)</f>
      </c>
      <c r="D28" s="623"/>
      <c r="E28" s="12"/>
      <c r="F28"/>
      <c r="G28"/>
      <c r="H28"/>
      <c r="I28"/>
    </row>
    <row r="29" spans="1:9" ht="12.75">
      <c r="A29" s="96" t="s">
        <v>246</v>
      </c>
      <c r="B29" s="546">
        <f>IF(OR((B13=""),(B14=""),($C9=""),(B24=""),($C8="")),"",(B13-B14)*$C9+B24*$C8/60)</f>
      </c>
      <c r="C29" s="639">
        <f>IF(OR((B13=""),(B14=""),($C9=""),(C24=""),($C8="")),"",(B13-B14)*$C9+C24*$C8/60)</f>
      </c>
      <c r="D29" s="623"/>
      <c r="E29" s="12"/>
      <c r="F29"/>
      <c r="G29"/>
      <c r="H29"/>
      <c r="I29"/>
    </row>
    <row r="30" spans="1:9" ht="12.75">
      <c r="A30" s="96" t="s">
        <v>247</v>
      </c>
      <c r="B30" s="546">
        <f>IF(OR((B13=""),(B14=""),($B9=""),(B26=""),($B8="")),"",(B13-B14)*$B9+B26*$B8/60)</f>
      </c>
      <c r="C30" s="639">
        <f>IF(OR((B13=""),(B14=""),($B9=""),(C26=""),($B8="")),"",(B13-B14)*$B9+C26*$B8/60)</f>
      </c>
      <c r="D30" s="623"/>
      <c r="E30" s="12"/>
      <c r="F30"/>
      <c r="G30"/>
      <c r="H30"/>
      <c r="I30"/>
    </row>
    <row r="31" spans="1:9" ht="13.5" thickBot="1">
      <c r="A31" s="96" t="s">
        <v>248</v>
      </c>
      <c r="B31" s="549">
        <f>IF(OR((B13=""),(B14=""),($C9=""),(B26=""),($C8="")),"",(B13-B14)*$C9+B26*$C8/60)</f>
      </c>
      <c r="C31" s="640">
        <f>IF(OR((B13=""),(B14=""),($C9=""),(C26=""),($C8="")),"",(B13-B14)*$C9+C26*$C8/60)</f>
      </c>
      <c r="D31" s="627"/>
      <c r="E31" s="12"/>
      <c r="F31"/>
      <c r="G31"/>
      <c r="H31"/>
      <c r="I31"/>
    </row>
    <row r="32" spans="1:9" ht="13.5" thickBot="1">
      <c r="A32" s="227" t="s">
        <v>249</v>
      </c>
      <c r="B32" s="372"/>
      <c r="C32" s="557"/>
      <c r="D32" s="626"/>
      <c r="E32" s="12"/>
      <c r="F32"/>
      <c r="G32"/>
      <c r="H32"/>
      <c r="I32"/>
    </row>
    <row r="33" spans="1:9" ht="13.5" thickBot="1">
      <c r="A33" s="96" t="s">
        <v>239</v>
      </c>
      <c r="B33" s="542">
        <f>IF(OR((B16=""),(C16="")),"",B16*60/C16)</f>
      </c>
      <c r="C33" s="553"/>
      <c r="D33" s="623"/>
      <c r="E33" s="12"/>
      <c r="F33"/>
      <c r="I33"/>
    </row>
    <row r="34" spans="1:9" ht="12.75">
      <c r="A34" s="596" t="s">
        <v>250</v>
      </c>
      <c r="B34" s="541">
        <f>IF(OR((B15=""),(C15="")),"",B15*60/C15)</f>
      </c>
      <c r="C34" s="41"/>
      <c r="D34" s="623"/>
      <c r="E34" s="12"/>
      <c r="F34"/>
      <c r="G34"/>
      <c r="H34"/>
      <c r="I34"/>
    </row>
    <row r="35" spans="1:9" ht="12.75">
      <c r="A35" s="96" t="s">
        <v>251</v>
      </c>
      <c r="B35" s="542">
        <f>IF(OR((B34=""),(B33="")),"",B34-B33)</f>
      </c>
      <c r="C35" s="41"/>
      <c r="D35" s="623"/>
      <c r="E35" s="12"/>
      <c r="F35"/>
      <c r="G35"/>
      <c r="H35"/>
      <c r="I35"/>
    </row>
    <row r="36" spans="1:9" ht="13.5" thickBot="1">
      <c r="A36" s="595" t="s">
        <v>252</v>
      </c>
      <c r="B36" s="554">
        <f>IF(OR((B15=""),(B16="")),"",B15-B16)</f>
      </c>
      <c r="C36" s="193"/>
      <c r="D36" s="627"/>
      <c r="E36" s="12"/>
      <c r="F36"/>
      <c r="G36"/>
      <c r="H36"/>
      <c r="I36"/>
    </row>
    <row r="37" spans="1:9" ht="13.5" thickBot="1">
      <c r="A37" s="558" t="s">
        <v>253</v>
      </c>
      <c r="B37" s="578" t="s">
        <v>13</v>
      </c>
      <c r="C37" s="579" t="s">
        <v>14</v>
      </c>
      <c r="D37" s="626"/>
      <c r="E37" s="12"/>
      <c r="F37"/>
      <c r="G37"/>
      <c r="H37"/>
      <c r="I37"/>
    </row>
    <row r="38" spans="1:9" ht="12.75">
      <c r="A38" s="77" t="s">
        <v>254</v>
      </c>
      <c r="B38" s="580">
        <f>IF(OR((B35=""),($B8="")),"",B35*$B8/60)</f>
      </c>
      <c r="C38" s="581">
        <f>IF(OR((B35=""),($C8="")),"",B35*$C8/60)</f>
      </c>
      <c r="D38" s="623"/>
      <c r="E38" s="12"/>
      <c r="F38"/>
      <c r="G38"/>
      <c r="H38"/>
      <c r="I38"/>
    </row>
    <row r="39" spans="1:9" ht="12.75">
      <c r="A39" s="77" t="s">
        <v>255</v>
      </c>
      <c r="B39" s="580">
        <f>+IF(OR((B36=""),($B9="")),"",B36*$B9)</f>
      </c>
      <c r="C39" s="581">
        <f>+IF(OR((B36=""),($C9="")),"",B36*$C9)</f>
      </c>
      <c r="D39" s="623"/>
      <c r="E39" s="12"/>
      <c r="F39"/>
      <c r="G39"/>
      <c r="H39"/>
      <c r="I39"/>
    </row>
    <row r="40" spans="1:9" ht="12.75">
      <c r="A40" s="96" t="s">
        <v>256</v>
      </c>
      <c r="B40" s="546">
        <f>IF(OR((B38=""),(B39="")),"",SUM(B38:B39))</f>
      </c>
      <c r="C40" s="547">
        <f>IF(OR((C38=""),(C39="")),"",SUM(C38:C39))</f>
      </c>
      <c r="D40" s="623"/>
      <c r="E40" s="12"/>
      <c r="F40"/>
      <c r="G40"/>
      <c r="H40"/>
      <c r="I40"/>
    </row>
    <row r="41" spans="1:9" ht="13.5" thickBot="1">
      <c r="A41" s="202" t="s">
        <v>257</v>
      </c>
      <c r="B41" s="134">
        <f>IF(OR((B40=""),(B30=""),($B8="")),"",(B40-B30)/($B8/60))</f>
      </c>
      <c r="C41" s="582">
        <f>IF(OR((C40=""),(B31=""),($C8="")),"",(C40-B31)/($C8/60))</f>
      </c>
      <c r="D41" s="627"/>
      <c r="E41" s="12"/>
      <c r="F41"/>
      <c r="G41"/>
      <c r="H41"/>
      <c r="I41"/>
    </row>
    <row r="42" spans="1:5" ht="13.5" thickBot="1">
      <c r="A42" s="529" t="s">
        <v>380</v>
      </c>
      <c r="B42" s="401" t="s">
        <v>42</v>
      </c>
      <c r="C42" s="402" t="s">
        <v>43</v>
      </c>
      <c r="D42" s="626"/>
      <c r="E42" s="12"/>
    </row>
    <row r="43" spans="1:5" ht="30" customHeight="1" thickBot="1">
      <c r="A43" s="622" t="s">
        <v>293</v>
      </c>
      <c r="B43" s="261"/>
      <c r="C43" s="261"/>
      <c r="D43" s="627"/>
      <c r="E43" s="12"/>
    </row>
    <row r="44" spans="1:5" ht="30" customHeight="1">
      <c r="A44" s="641" t="s">
        <v>294</v>
      </c>
      <c r="B44" s="405"/>
      <c r="C44" s="405"/>
      <c r="D44" s="624"/>
      <c r="E44" s="12"/>
    </row>
    <row r="45" spans="1:5" ht="30" customHeight="1" thickBot="1">
      <c r="A45" s="642" t="s">
        <v>295</v>
      </c>
      <c r="B45" s="405"/>
      <c r="C45" s="405"/>
      <c r="D45" s="624"/>
      <c r="E45" s="12"/>
    </row>
    <row r="46" spans="1:5" ht="30" customHeight="1">
      <c r="A46" s="641" t="s">
        <v>296</v>
      </c>
      <c r="B46" s="405"/>
      <c r="C46" s="405"/>
      <c r="D46" s="624"/>
      <c r="E46" s="12"/>
    </row>
    <row r="47" spans="1:5" ht="30" customHeight="1" thickBot="1">
      <c r="A47" s="642" t="s">
        <v>297</v>
      </c>
      <c r="B47" s="405"/>
      <c r="C47" s="405"/>
      <c r="D47" s="624"/>
      <c r="E47" s="12"/>
    </row>
    <row r="48" spans="1:5" ht="30" customHeight="1">
      <c r="A48" s="641" t="s">
        <v>298</v>
      </c>
      <c r="B48" s="405"/>
      <c r="C48" s="405"/>
      <c r="D48" s="624"/>
      <c r="E48" s="12"/>
    </row>
    <row r="49" spans="1:5" ht="30" customHeight="1" thickBot="1">
      <c r="A49" s="642" t="s">
        <v>299</v>
      </c>
      <c r="B49" s="405"/>
      <c r="C49" s="405"/>
      <c r="D49" s="624"/>
      <c r="E49" s="12"/>
    </row>
    <row r="50" spans="1:5" ht="30" customHeight="1">
      <c r="A50" s="641" t="s">
        <v>300</v>
      </c>
      <c r="B50" s="405"/>
      <c r="C50" s="405"/>
      <c r="D50" s="624"/>
      <c r="E50" s="12"/>
    </row>
    <row r="51" spans="1:5" ht="30" customHeight="1" thickBot="1">
      <c r="A51" s="642" t="s">
        <v>301</v>
      </c>
      <c r="B51" s="405"/>
      <c r="C51" s="405"/>
      <c r="D51" s="624"/>
      <c r="E51" s="12"/>
    </row>
    <row r="52" spans="1:5" ht="13.5" thickBot="1">
      <c r="A52" s="165" t="s">
        <v>57</v>
      </c>
      <c r="B52" s="445" t="s">
        <v>13</v>
      </c>
      <c r="C52" s="446" t="s">
        <v>14</v>
      </c>
      <c r="D52" s="628"/>
      <c r="E52" s="12"/>
    </row>
    <row r="53" spans="1:5" ht="30" customHeight="1">
      <c r="A53" s="589" t="s">
        <v>118</v>
      </c>
      <c r="B53" s="433">
        <v>0</v>
      </c>
      <c r="C53" s="433">
        <v>0</v>
      </c>
      <c r="D53" s="627" t="s">
        <v>287</v>
      </c>
      <c r="E53" s="12"/>
    </row>
    <row r="54" spans="1:5" ht="13.5" thickBot="1">
      <c r="A54" s="643" t="s">
        <v>59</v>
      </c>
      <c r="B54" s="520">
        <f>B40</f>
      </c>
      <c r="C54" s="520">
        <f>C40</f>
      </c>
      <c r="D54" s="624"/>
      <c r="E54" s="12"/>
    </row>
    <row r="55" spans="1:4" ht="13.5" thickBot="1">
      <c r="A55" s="165" t="s">
        <v>302</v>
      </c>
      <c r="B55" s="445" t="s">
        <v>303</v>
      </c>
      <c r="C55" s="446" t="s">
        <v>283</v>
      </c>
      <c r="D55" s="628"/>
    </row>
    <row r="56" spans="1:4" ht="30" customHeight="1" thickBot="1">
      <c r="A56" s="643" t="s">
        <v>304</v>
      </c>
      <c r="B56" s="645"/>
      <c r="C56" s="645"/>
      <c r="D56" s="646"/>
    </row>
    <row r="57" spans="1:5" s="587" customFormat="1" ht="12.75">
      <c r="A57" s="552"/>
      <c r="D57" s="644"/>
      <c r="E57" s="552"/>
    </row>
    <row r="58" spans="1:5" ht="12.75">
      <c r="A58" s="12"/>
      <c r="E58" s="12"/>
    </row>
    <row r="59" spans="1:5" ht="12.75">
      <c r="A59" s="12"/>
      <c r="E59" s="12"/>
    </row>
    <row r="60" spans="1:5" ht="12.75">
      <c r="A60" s="12"/>
      <c r="E60" s="12"/>
    </row>
    <row r="61" spans="1:5" ht="12.75">
      <c r="A61" s="12"/>
      <c r="E61" s="12"/>
    </row>
    <row r="62" spans="1:5" ht="12.75">
      <c r="A62" s="12"/>
      <c r="E62" s="12"/>
    </row>
    <row r="63" spans="1:5" ht="12.75">
      <c r="A63" s="12"/>
      <c r="E63" s="12"/>
    </row>
    <row r="64" spans="1:5" ht="12.75">
      <c r="A64" s="12"/>
      <c r="E64" s="12"/>
    </row>
    <row r="65" spans="1:5" ht="12.75">
      <c r="A65" s="12"/>
      <c r="E65" s="12"/>
    </row>
    <row r="66" spans="1:5" ht="12.75">
      <c r="A66" s="12"/>
      <c r="E66" s="12"/>
    </row>
    <row r="67" spans="1:5" ht="12.75">
      <c r="A67" s="12"/>
      <c r="E67" s="12"/>
    </row>
    <row r="68" spans="1:5" ht="12.75">
      <c r="A68" s="12"/>
      <c r="E68" s="12"/>
    </row>
    <row r="69" spans="1:5" ht="12.75">
      <c r="A69" s="12"/>
      <c r="E69" s="12"/>
    </row>
    <row r="70" spans="1:5" ht="12.75">
      <c r="A70" s="12"/>
      <c r="E70" s="12"/>
    </row>
    <row r="71" spans="1:5" ht="12.75">
      <c r="A71" s="12"/>
      <c r="E71" s="12"/>
    </row>
    <row r="72" spans="1:5" ht="12.75">
      <c r="A72" s="12"/>
      <c r="E72" s="12"/>
    </row>
    <row r="73" spans="1:5" ht="12.75">
      <c r="A73" s="12"/>
      <c r="E73" s="12"/>
    </row>
    <row r="74" spans="1:5" ht="12.75">
      <c r="A74" s="12"/>
      <c r="E74" s="12"/>
    </row>
  </sheetData>
  <printOptions horizontalCentered="1" verticalCentered="1"/>
  <pageMargins left="0.75" right="0.36" top="0.33" bottom="0.39" header="0.57" footer="0.21"/>
  <pageSetup fitToHeight="1" fitToWidth="1" horizontalDpi="600" verticalDpi="600" orientation="portrait" scale="64" r:id="rId4"/>
  <headerFooter alignWithMargins="0">
    <oddFooter>&amp;L&amp;"Arial,Bold"&amp;11&amp;F&amp;C&amp;"Arial,Bold"&amp;11&amp;A&amp;R&amp;"Arial,Bold"&amp;11&amp;D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411">
    <pageSetUpPr fitToPage="1"/>
  </sheetPr>
  <dimension ref="A1:AH85"/>
  <sheetViews>
    <sheetView showGridLines="0" workbookViewId="0" topLeftCell="A32">
      <selection activeCell="B62" sqref="B62:Q62"/>
    </sheetView>
  </sheetViews>
  <sheetFormatPr defaultColWidth="9.140625" defaultRowHeight="12.75"/>
  <cols>
    <col min="1" max="1" width="27.28125" style="71" customWidth="1"/>
    <col min="2" max="2" width="16.00390625" style="82" customWidth="1"/>
    <col min="3" max="3" width="0.85546875" style="82" customWidth="1"/>
    <col min="4" max="17" width="10.7109375" style="229" customWidth="1"/>
    <col min="18" max="24" width="7.7109375" style="0" customWidth="1"/>
    <col min="34" max="16384" width="6.7109375" style="71" customWidth="1"/>
  </cols>
  <sheetData>
    <row r="1" ht="18.75" thickBot="1">
      <c r="A1" s="802" t="s">
        <v>493</v>
      </c>
    </row>
    <row r="2" spans="1:33" s="782" customFormat="1" ht="19.5" customHeight="1">
      <c r="A2" s="803" t="s">
        <v>498</v>
      </c>
      <c r="B2" s="804"/>
      <c r="C2" s="804"/>
      <c r="D2" s="805"/>
      <c r="E2" s="29"/>
      <c r="F2" s="804"/>
      <c r="G2" s="806"/>
      <c r="H2" s="804"/>
      <c r="I2" s="806"/>
      <c r="J2" s="804"/>
      <c r="K2" s="806"/>
      <c r="L2" s="804"/>
      <c r="M2" s="806"/>
      <c r="N2" s="804"/>
      <c r="O2" s="806"/>
      <c r="P2" s="804"/>
      <c r="Q2" s="807"/>
      <c r="R2" s="359"/>
      <c r="S2" s="359"/>
      <c r="T2" s="359"/>
      <c r="U2" s="359"/>
      <c r="V2" s="359"/>
      <c r="W2" s="359"/>
      <c r="X2" s="359"/>
      <c r="Y2" s="359"/>
      <c r="Z2" s="359"/>
      <c r="AA2" s="359"/>
      <c r="AB2" s="359"/>
      <c r="AC2" s="359"/>
      <c r="AD2" s="359"/>
      <c r="AE2" s="359"/>
      <c r="AF2" s="359"/>
      <c r="AG2" s="359"/>
    </row>
    <row r="3" spans="2:33" s="782" customFormat="1" ht="13.5" customHeight="1">
      <c r="B3" s="956" t="s">
        <v>230</v>
      </c>
      <c r="C3" s="783"/>
      <c r="D3" s="957"/>
      <c r="E3" s="359"/>
      <c r="F3" s="359"/>
      <c r="G3" s="808"/>
      <c r="H3"/>
      <c r="I3" s="808"/>
      <c r="J3" s="783"/>
      <c r="K3" s="808"/>
      <c r="L3" s="783"/>
      <c r="M3" s="808"/>
      <c r="N3" s="783"/>
      <c r="O3" s="808"/>
      <c r="P3" s="783"/>
      <c r="Q3" s="809"/>
      <c r="R3" s="359"/>
      <c r="S3" s="359"/>
      <c r="T3" s="359"/>
      <c r="U3" s="359"/>
      <c r="V3" s="359"/>
      <c r="W3" s="359"/>
      <c r="X3" s="359"/>
      <c r="Y3" s="359"/>
      <c r="Z3" s="359"/>
      <c r="AA3" s="359"/>
      <c r="AB3" s="359"/>
      <c r="AC3" s="359"/>
      <c r="AD3" s="359"/>
      <c r="AE3" s="359"/>
      <c r="AF3" s="359"/>
      <c r="AG3" s="359"/>
    </row>
    <row r="4" spans="2:33" s="782" customFormat="1" ht="13.5" customHeight="1" thickBot="1">
      <c r="B4" s="958" t="s">
        <v>231</v>
      </c>
      <c r="C4" s="61"/>
      <c r="D4" s="810"/>
      <c r="E4" s="30"/>
      <c r="F4" s="61"/>
      <c r="G4" s="811"/>
      <c r="H4" s="61"/>
      <c r="I4" s="811"/>
      <c r="J4" s="61"/>
      <c r="K4" s="811"/>
      <c r="L4" s="61"/>
      <c r="M4" s="811"/>
      <c r="N4" s="61"/>
      <c r="O4" s="811"/>
      <c r="P4" s="61"/>
      <c r="Q4" s="812"/>
      <c r="R4" s="359"/>
      <c r="S4" s="359"/>
      <c r="T4" s="359"/>
      <c r="U4" s="359"/>
      <c r="V4" s="359"/>
      <c r="W4" s="359"/>
      <c r="X4" s="359"/>
      <c r="Y4" s="359"/>
      <c r="Z4" s="359"/>
      <c r="AA4" s="359"/>
      <c r="AB4" s="359"/>
      <c r="AC4" s="359"/>
      <c r="AD4" s="359"/>
      <c r="AE4" s="359"/>
      <c r="AF4" s="359"/>
      <c r="AG4" s="359"/>
    </row>
    <row r="5" spans="1:33" s="816" customFormat="1" ht="16.5" thickBot="1">
      <c r="A5" s="813" t="s">
        <v>500</v>
      </c>
      <c r="B5" s="814"/>
      <c r="C5" s="815"/>
      <c r="D5" s="1115">
        <v>0.5</v>
      </c>
      <c r="E5" s="1116">
        <v>0.5</v>
      </c>
      <c r="F5" s="1115">
        <v>0.5</v>
      </c>
      <c r="G5" s="1116">
        <v>0.5</v>
      </c>
      <c r="H5" s="1115">
        <v>0.5</v>
      </c>
      <c r="I5" s="1116">
        <v>0.5</v>
      </c>
      <c r="J5" s="1115">
        <v>0.5</v>
      </c>
      <c r="K5" s="1116">
        <v>0.5</v>
      </c>
      <c r="L5" s="1115">
        <v>0.5</v>
      </c>
      <c r="M5" s="1116">
        <v>0.5</v>
      </c>
      <c r="N5" s="1115">
        <v>0.5</v>
      </c>
      <c r="O5" s="1116">
        <v>0.5</v>
      </c>
      <c r="P5" s="1115">
        <v>0.5</v>
      </c>
      <c r="Q5" s="1117">
        <v>0.5</v>
      </c>
      <c r="R5" s="359"/>
      <c r="S5" s="359"/>
      <c r="T5" s="359"/>
      <c r="U5" s="359"/>
      <c r="V5" s="359"/>
      <c r="W5" s="359"/>
      <c r="X5" s="359"/>
      <c r="Y5" s="359"/>
      <c r="Z5" s="359"/>
      <c r="AA5" s="359"/>
      <c r="AB5" s="359"/>
      <c r="AC5" s="359"/>
      <c r="AD5" s="359"/>
      <c r="AE5" s="359"/>
      <c r="AF5" s="359"/>
      <c r="AG5" s="359"/>
    </row>
    <row r="6" spans="1:17" ht="13.5" thickBot="1">
      <c r="A6" s="817"/>
      <c r="B6" s="959" t="s">
        <v>94</v>
      </c>
      <c r="C6" s="818"/>
      <c r="D6" s="960"/>
      <c r="E6" s="961"/>
      <c r="F6" s="962"/>
      <c r="G6" s="961"/>
      <c r="H6" s="962"/>
      <c r="I6" s="961"/>
      <c r="J6" s="962"/>
      <c r="K6" s="961"/>
      <c r="L6" s="962"/>
      <c r="M6" s="961"/>
      <c r="N6" s="962"/>
      <c r="O6" s="961"/>
      <c r="P6" s="962"/>
      <c r="Q6" s="961"/>
    </row>
    <row r="7" spans="1:17" ht="12.75">
      <c r="A7" s="819"/>
      <c r="B7" s="963" t="s">
        <v>95</v>
      </c>
      <c r="C7" s="964"/>
      <c r="D7" s="965"/>
      <c r="E7" s="966"/>
      <c r="F7" s="967"/>
      <c r="G7" s="966"/>
      <c r="H7" s="967"/>
      <c r="I7" s="966"/>
      <c r="J7" s="967"/>
      <c r="K7" s="966"/>
      <c r="L7" s="967"/>
      <c r="M7" s="966"/>
      <c r="N7" s="967"/>
      <c r="O7" s="966"/>
      <c r="P7" s="967"/>
      <c r="Q7" s="966"/>
    </row>
    <row r="8" spans="1:17" ht="12.75">
      <c r="A8" s="819"/>
      <c r="B8" s="963" t="s">
        <v>505</v>
      </c>
      <c r="C8" s="964"/>
      <c r="D8" s="965"/>
      <c r="E8" s="966"/>
      <c r="F8" s="967"/>
      <c r="G8" s="966"/>
      <c r="H8" s="967"/>
      <c r="I8" s="966"/>
      <c r="J8" s="967"/>
      <c r="K8" s="966"/>
      <c r="L8" s="967"/>
      <c r="M8" s="966"/>
      <c r="N8" s="967"/>
      <c r="O8" s="966"/>
      <c r="P8" s="967"/>
      <c r="Q8" s="966"/>
    </row>
    <row r="9" spans="1:17" ht="12.75">
      <c r="A9" s="819"/>
      <c r="B9" s="963" t="s">
        <v>506</v>
      </c>
      <c r="C9" s="964"/>
      <c r="D9" s="965"/>
      <c r="E9" s="966"/>
      <c r="F9" s="967"/>
      <c r="G9" s="966"/>
      <c r="H9" s="967"/>
      <c r="I9" s="966"/>
      <c r="J9" s="967"/>
      <c r="K9" s="966"/>
      <c r="L9" s="967"/>
      <c r="M9" s="966"/>
      <c r="N9" s="967"/>
      <c r="O9" s="966"/>
      <c r="P9" s="967"/>
      <c r="Q9" s="966"/>
    </row>
    <row r="10" spans="1:17" ht="12.75">
      <c r="A10" s="819"/>
      <c r="B10" s="963" t="s">
        <v>507</v>
      </c>
      <c r="C10" s="964"/>
      <c r="D10" s="965"/>
      <c r="E10" s="966"/>
      <c r="F10" s="967"/>
      <c r="G10" s="966"/>
      <c r="H10" s="967"/>
      <c r="I10" s="966"/>
      <c r="J10" s="967"/>
      <c r="K10" s="966"/>
      <c r="L10" s="967"/>
      <c r="M10" s="966"/>
      <c r="N10" s="967"/>
      <c r="O10" s="966"/>
      <c r="P10" s="967"/>
      <c r="Q10" s="966"/>
    </row>
    <row r="11" spans="1:17" ht="12.75">
      <c r="A11" s="819"/>
      <c r="B11" s="963" t="s">
        <v>99</v>
      </c>
      <c r="C11" s="964"/>
      <c r="D11" s="968"/>
      <c r="E11" s="969"/>
      <c r="F11" s="970"/>
      <c r="G11" s="969"/>
      <c r="H11" s="970"/>
      <c r="I11" s="969"/>
      <c r="J11" s="970"/>
      <c r="K11" s="969"/>
      <c r="L11" s="970"/>
      <c r="M11" s="969"/>
      <c r="N11" s="970"/>
      <c r="O11" s="969"/>
      <c r="P11" s="970"/>
      <c r="Q11" s="969"/>
    </row>
    <row r="12" spans="1:17" ht="12.75">
      <c r="A12" s="819"/>
      <c r="B12" s="963" t="s">
        <v>100</v>
      </c>
      <c r="C12" s="964"/>
      <c r="D12" s="971"/>
      <c r="E12" s="972"/>
      <c r="F12" s="973"/>
      <c r="G12" s="972"/>
      <c r="H12" s="973"/>
      <c r="I12" s="972"/>
      <c r="J12" s="973"/>
      <c r="K12" s="972"/>
      <c r="L12" s="973"/>
      <c r="M12" s="972"/>
      <c r="N12" s="973"/>
      <c r="O12" s="972"/>
      <c r="P12" s="973"/>
      <c r="Q12" s="972"/>
    </row>
    <row r="13" spans="1:17" ht="12.75">
      <c r="A13" s="819"/>
      <c r="B13" s="963" t="s">
        <v>101</v>
      </c>
      <c r="C13" s="964"/>
      <c r="D13" s="971"/>
      <c r="E13" s="972"/>
      <c r="F13" s="973"/>
      <c r="G13" s="972"/>
      <c r="H13" s="973"/>
      <c r="I13" s="972"/>
      <c r="J13" s="973"/>
      <c r="K13" s="972"/>
      <c r="L13" s="973"/>
      <c r="M13" s="972"/>
      <c r="N13" s="973"/>
      <c r="O13" s="972"/>
      <c r="P13" s="973"/>
      <c r="Q13" s="972"/>
    </row>
    <row r="14" spans="1:17" ht="12.75">
      <c r="A14" s="819"/>
      <c r="B14" s="963" t="s">
        <v>103</v>
      </c>
      <c r="C14" s="964"/>
      <c r="D14" s="968"/>
      <c r="E14" s="969"/>
      <c r="F14" s="970"/>
      <c r="G14" s="969"/>
      <c r="H14" s="970"/>
      <c r="I14" s="969"/>
      <c r="J14" s="970"/>
      <c r="K14" s="969"/>
      <c r="L14" s="970"/>
      <c r="M14" s="969"/>
      <c r="N14" s="970"/>
      <c r="O14" s="969"/>
      <c r="P14" s="970"/>
      <c r="Q14" s="969"/>
    </row>
    <row r="15" spans="1:17" ht="12.75">
      <c r="A15" s="819"/>
      <c r="B15" s="963" t="s">
        <v>102</v>
      </c>
      <c r="C15" s="964"/>
      <c r="D15" s="971"/>
      <c r="E15" s="972"/>
      <c r="F15" s="973"/>
      <c r="G15" s="972"/>
      <c r="H15" s="973"/>
      <c r="I15" s="972"/>
      <c r="J15" s="973"/>
      <c r="K15" s="972"/>
      <c r="L15" s="973"/>
      <c r="M15" s="972"/>
      <c r="N15" s="973"/>
      <c r="O15" s="972"/>
      <c r="P15" s="973"/>
      <c r="Q15" s="972"/>
    </row>
    <row r="16" spans="1:17" ht="12.75">
      <c r="A16" s="819"/>
      <c r="B16" s="963" t="s">
        <v>501</v>
      </c>
      <c r="C16" s="964"/>
      <c r="D16" s="974"/>
      <c r="E16" s="975"/>
      <c r="F16" s="976"/>
      <c r="G16" s="975"/>
      <c r="H16" s="976"/>
      <c r="I16" s="975"/>
      <c r="J16" s="976"/>
      <c r="K16" s="975"/>
      <c r="L16" s="976"/>
      <c r="M16" s="975"/>
      <c r="N16" s="976"/>
      <c r="O16" s="975"/>
      <c r="P16" s="976"/>
      <c r="Q16" s="975"/>
    </row>
    <row r="17" spans="1:17" ht="12.75">
      <c r="A17" s="819"/>
      <c r="B17" s="963" t="s">
        <v>105</v>
      </c>
      <c r="C17" s="964"/>
      <c r="D17" s="974"/>
      <c r="E17" s="975"/>
      <c r="F17" s="976"/>
      <c r="G17" s="975"/>
      <c r="H17" s="976"/>
      <c r="I17" s="975"/>
      <c r="J17" s="976"/>
      <c r="K17" s="975"/>
      <c r="L17" s="976"/>
      <c r="M17" s="975"/>
      <c r="N17" s="976"/>
      <c r="O17" s="975"/>
      <c r="P17" s="976"/>
      <c r="Q17" s="975"/>
    </row>
    <row r="18" spans="1:17" ht="12.75">
      <c r="A18" s="819"/>
      <c r="B18" s="963" t="s">
        <v>106</v>
      </c>
      <c r="C18" s="964"/>
      <c r="D18" s="974"/>
      <c r="E18" s="975"/>
      <c r="F18" s="976"/>
      <c r="G18" s="975"/>
      <c r="H18" s="976"/>
      <c r="I18" s="975"/>
      <c r="J18" s="976"/>
      <c r="K18" s="975"/>
      <c r="L18" s="976"/>
      <c r="M18" s="975"/>
      <c r="N18" s="976"/>
      <c r="O18" s="975"/>
      <c r="P18" s="976"/>
      <c r="Q18" s="975"/>
    </row>
    <row r="19" spans="1:17" ht="12.75">
      <c r="A19" s="819"/>
      <c r="B19" s="963" t="s">
        <v>107</v>
      </c>
      <c r="C19" s="964"/>
      <c r="D19" s="977"/>
      <c r="E19" s="978"/>
      <c r="F19" s="979"/>
      <c r="G19" s="978"/>
      <c r="H19" s="979"/>
      <c r="I19" s="978"/>
      <c r="J19" s="979"/>
      <c r="K19" s="978"/>
      <c r="L19" s="979"/>
      <c r="M19" s="978"/>
      <c r="N19" s="979"/>
      <c r="O19" s="978"/>
      <c r="P19" s="979"/>
      <c r="Q19" s="978"/>
    </row>
    <row r="20" spans="1:17" ht="12.75">
      <c r="A20" s="819"/>
      <c r="B20" s="963" t="s">
        <v>108</v>
      </c>
      <c r="C20" s="964"/>
      <c r="D20" s="980"/>
      <c r="E20" s="981"/>
      <c r="F20" s="982"/>
      <c r="G20" s="981"/>
      <c r="H20" s="982"/>
      <c r="I20" s="981"/>
      <c r="J20" s="982"/>
      <c r="K20" s="981"/>
      <c r="L20" s="982"/>
      <c r="M20" s="981"/>
      <c r="N20" s="982"/>
      <c r="O20" s="981"/>
      <c r="P20" s="982"/>
      <c r="Q20" s="981"/>
    </row>
    <row r="21" spans="1:17" ht="12.75">
      <c r="A21" s="819"/>
      <c r="B21" s="963" t="s">
        <v>110</v>
      </c>
      <c r="C21" s="964"/>
      <c r="D21" s="986"/>
      <c r="E21" s="987"/>
      <c r="F21" s="988"/>
      <c r="G21" s="987"/>
      <c r="H21" s="988"/>
      <c r="I21" s="987"/>
      <c r="J21" s="988"/>
      <c r="K21" s="987"/>
      <c r="L21" s="988"/>
      <c r="M21" s="987"/>
      <c r="N21" s="988"/>
      <c r="O21" s="987"/>
      <c r="P21" s="988"/>
      <c r="Q21" s="987"/>
    </row>
    <row r="22" spans="1:34" ht="12.75">
      <c r="A22" s="819"/>
      <c r="B22" s="963" t="s">
        <v>109</v>
      </c>
      <c r="C22" s="964"/>
      <c r="D22" s="983"/>
      <c r="E22" s="984"/>
      <c r="F22" s="985"/>
      <c r="G22" s="984"/>
      <c r="H22" s="985"/>
      <c r="I22" s="984"/>
      <c r="J22" s="985"/>
      <c r="K22" s="984"/>
      <c r="L22" s="985"/>
      <c r="M22" s="984"/>
      <c r="N22" s="985"/>
      <c r="O22" s="984"/>
      <c r="P22" s="985"/>
      <c r="Q22" s="984"/>
      <c r="AH22" s="71"/>
    </row>
    <row r="23" spans="1:17" ht="12.75">
      <c r="A23" s="819"/>
      <c r="B23" s="963" t="s">
        <v>111</v>
      </c>
      <c r="C23" s="964"/>
      <c r="D23" s="974"/>
      <c r="E23" s="975"/>
      <c r="F23" s="976"/>
      <c r="G23" s="975"/>
      <c r="H23" s="976"/>
      <c r="I23" s="975"/>
      <c r="J23" s="976"/>
      <c r="K23" s="975"/>
      <c r="L23" s="976"/>
      <c r="M23" s="975"/>
      <c r="N23" s="976"/>
      <c r="O23" s="975"/>
      <c r="P23" s="976"/>
      <c r="Q23" s="975"/>
    </row>
    <row r="24" spans="1:17" ht="12.75">
      <c r="A24" s="819"/>
      <c r="B24" s="963" t="s">
        <v>494</v>
      </c>
      <c r="C24" s="964"/>
      <c r="D24" s="989"/>
      <c r="E24" s="990"/>
      <c r="F24" s="991"/>
      <c r="G24" s="992"/>
      <c r="H24" s="990"/>
      <c r="I24" s="990"/>
      <c r="J24" s="991"/>
      <c r="K24" s="992"/>
      <c r="L24" s="991"/>
      <c r="M24" s="992"/>
      <c r="N24" s="991"/>
      <c r="O24" s="992"/>
      <c r="P24" s="991"/>
      <c r="Q24" s="992"/>
    </row>
    <row r="25" spans="1:17" ht="13.5" thickBot="1">
      <c r="A25" s="820"/>
      <c r="B25" s="993" t="s">
        <v>495</v>
      </c>
      <c r="C25" s="994"/>
      <c r="D25" s="989"/>
      <c r="E25" s="990"/>
      <c r="F25" s="995"/>
      <c r="G25" s="996"/>
      <c r="H25" s="990"/>
      <c r="I25" s="990"/>
      <c r="J25" s="995"/>
      <c r="K25" s="996"/>
      <c r="L25" s="995"/>
      <c r="M25" s="996"/>
      <c r="N25" s="995"/>
      <c r="O25" s="996"/>
      <c r="P25" s="995"/>
      <c r="Q25" s="996"/>
    </row>
    <row r="26" spans="1:33" s="823" customFormat="1" ht="45" customHeight="1" thickBot="1">
      <c r="A26" s="821" t="s">
        <v>270</v>
      </c>
      <c r="B26" s="821"/>
      <c r="C26" s="822"/>
      <c r="D26" s="997"/>
      <c r="E26" s="998"/>
      <c r="F26" s="997"/>
      <c r="G26" s="998"/>
      <c r="H26" s="997"/>
      <c r="I26" s="998"/>
      <c r="J26" s="997"/>
      <c r="K26" s="998"/>
      <c r="L26" s="997"/>
      <c r="M26" s="998"/>
      <c r="N26" s="997"/>
      <c r="O26" s="998"/>
      <c r="P26" s="999"/>
      <c r="Q26" s="998"/>
      <c r="R26"/>
      <c r="S26"/>
      <c r="T26"/>
      <c r="U26"/>
      <c r="V26"/>
      <c r="W26"/>
      <c r="X26"/>
      <c r="Y26"/>
      <c r="Z26"/>
      <c r="AA26"/>
      <c r="AB26"/>
      <c r="AC26"/>
      <c r="AD26"/>
      <c r="AE26"/>
      <c r="AF26"/>
      <c r="AG26"/>
    </row>
    <row r="27" spans="1:17" ht="12.75">
      <c r="A27" s="817"/>
      <c r="B27" s="959" t="s">
        <v>526</v>
      </c>
      <c r="C27" s="959"/>
      <c r="D27" s="1000"/>
      <c r="E27" s="1001"/>
      <c r="F27" s="1000"/>
      <c r="G27" s="1001"/>
      <c r="H27" s="1000"/>
      <c r="I27" s="1001"/>
      <c r="J27" s="1000"/>
      <c r="K27" s="1001"/>
      <c r="L27" s="1000"/>
      <c r="M27" s="1001"/>
      <c r="N27" s="1000"/>
      <c r="O27" s="1001"/>
      <c r="P27" s="1000"/>
      <c r="Q27" s="1001"/>
    </row>
    <row r="28" spans="1:17" ht="12.75">
      <c r="A28" s="819"/>
      <c r="B28" s="963" t="s">
        <v>527</v>
      </c>
      <c r="C28" s="963"/>
      <c r="D28" s="1002"/>
      <c r="E28" s="1003"/>
      <c r="F28" s="1002"/>
      <c r="G28" s="1003"/>
      <c r="H28" s="1002"/>
      <c r="I28" s="1003"/>
      <c r="J28" s="1002"/>
      <c r="K28" s="1003"/>
      <c r="L28" s="1002"/>
      <c r="M28" s="1003"/>
      <c r="N28" s="1002"/>
      <c r="O28" s="1003"/>
      <c r="P28" s="1002"/>
      <c r="Q28" s="1003"/>
    </row>
    <row r="29" spans="1:17" ht="12.75">
      <c r="A29" s="819"/>
      <c r="B29" s="963" t="s">
        <v>271</v>
      </c>
      <c r="C29" s="963"/>
      <c r="D29" s="1004"/>
      <c r="E29" s="1005"/>
      <c r="F29" s="1004"/>
      <c r="G29" s="1005"/>
      <c r="H29" s="1004"/>
      <c r="I29" s="1005"/>
      <c r="J29" s="1004"/>
      <c r="K29" s="1005"/>
      <c r="L29" s="1004"/>
      <c r="M29" s="1005"/>
      <c r="N29" s="1004"/>
      <c r="O29" s="1005"/>
      <c r="P29" s="1004"/>
      <c r="Q29" s="1005"/>
    </row>
    <row r="30" spans="1:17" ht="13.5" thickBot="1">
      <c r="A30" s="820"/>
      <c r="B30" s="993" t="s">
        <v>272</v>
      </c>
      <c r="C30" s="993"/>
      <c r="D30" s="1006"/>
      <c r="E30" s="1007"/>
      <c r="F30" s="1006"/>
      <c r="G30" s="1007"/>
      <c r="H30" s="1006"/>
      <c r="I30" s="1007"/>
      <c r="J30" s="1006"/>
      <c r="K30" s="1007"/>
      <c r="L30" s="1006"/>
      <c r="M30" s="1007"/>
      <c r="N30" s="1006"/>
      <c r="O30" s="1007"/>
      <c r="P30" s="1006"/>
      <c r="Q30" s="1007"/>
    </row>
    <row r="31" spans="2:3" ht="12.75">
      <c r="B31" s="1"/>
      <c r="C31" s="1"/>
    </row>
    <row r="32" spans="2:3" ht="12.75">
      <c r="B32" s="1"/>
      <c r="C32" s="1"/>
    </row>
    <row r="33" spans="2:3" ht="13.5" thickBot="1">
      <c r="B33" s="1"/>
      <c r="C33" s="1"/>
    </row>
    <row r="34" spans="1:33" s="827" customFormat="1" ht="19.5" customHeight="1">
      <c r="A34" s="601" t="s">
        <v>273</v>
      </c>
      <c r="B34" s="824">
        <f>IF(B2="","",B2)</f>
      </c>
      <c r="C34" s="824"/>
      <c r="D34" s="825">
        <f>IF(D2="","",D2)</f>
      </c>
      <c r="E34" s="318"/>
      <c r="F34" s="824"/>
      <c r="G34" s="647"/>
      <c r="H34" s="824"/>
      <c r="I34" s="647"/>
      <c r="J34" s="824"/>
      <c r="K34" s="647"/>
      <c r="L34" s="824"/>
      <c r="M34" s="647"/>
      <c r="N34" s="824"/>
      <c r="O34" s="647"/>
      <c r="P34" s="824"/>
      <c r="Q34" s="826"/>
      <c r="R34"/>
      <c r="S34"/>
      <c r="T34"/>
      <c r="U34"/>
      <c r="V34"/>
      <c r="W34"/>
      <c r="X34"/>
      <c r="Y34"/>
      <c r="Z34"/>
      <c r="AA34"/>
      <c r="AB34"/>
      <c r="AC34"/>
      <c r="AD34"/>
      <c r="AE34"/>
      <c r="AF34"/>
      <c r="AG34"/>
    </row>
    <row r="35" spans="1:33" s="827" customFormat="1" ht="13.5" customHeight="1">
      <c r="A35" s="828"/>
      <c r="B35" s="1046" t="str">
        <f>IF(B3="","",B3)</f>
        <v>By:</v>
      </c>
      <c r="C35" s="829"/>
      <c r="D35" s="1008">
        <f>IF(D3="","",D3)</f>
      </c>
      <c r="E35" s="319"/>
      <c r="F35" s="829"/>
      <c r="G35" s="777"/>
      <c r="H35" s="829"/>
      <c r="I35" s="777"/>
      <c r="J35" s="829"/>
      <c r="K35" s="777"/>
      <c r="L35" s="829"/>
      <c r="M35" s="777"/>
      <c r="N35" s="829"/>
      <c r="O35" s="777"/>
      <c r="P35" s="829"/>
      <c r="Q35" s="830"/>
      <c r="R35"/>
      <c r="S35"/>
      <c r="T35"/>
      <c r="U35"/>
      <c r="V35"/>
      <c r="W35"/>
      <c r="X35"/>
      <c r="Y35"/>
      <c r="Z35"/>
      <c r="AA35"/>
      <c r="AB35"/>
      <c r="AC35"/>
      <c r="AD35"/>
      <c r="AE35"/>
      <c r="AF35"/>
      <c r="AG35"/>
    </row>
    <row r="36" spans="1:33" s="827" customFormat="1" ht="13.5" customHeight="1" thickBot="1">
      <c r="A36" s="831"/>
      <c r="B36" s="1047" t="str">
        <f>IF(B4="","",B4)</f>
        <v>Other:</v>
      </c>
      <c r="C36" s="832"/>
      <c r="D36" s="833">
        <f>IF(D4="","",D4)</f>
      </c>
      <c r="E36" s="173"/>
      <c r="F36" s="832"/>
      <c r="G36" s="652"/>
      <c r="H36" s="832"/>
      <c r="I36" s="652"/>
      <c r="J36" s="832"/>
      <c r="K36" s="652"/>
      <c r="L36" s="832"/>
      <c r="M36" s="652"/>
      <c r="N36" s="832"/>
      <c r="O36" s="652"/>
      <c r="P36" s="832"/>
      <c r="Q36" s="834"/>
      <c r="R36"/>
      <c r="S36"/>
      <c r="T36"/>
      <c r="U36"/>
      <c r="V36"/>
      <c r="W36"/>
      <c r="X36"/>
      <c r="Y36"/>
      <c r="Z36"/>
      <c r="AA36"/>
      <c r="AB36"/>
      <c r="AC36"/>
      <c r="AD36"/>
      <c r="AE36"/>
      <c r="AF36"/>
      <c r="AG36"/>
    </row>
    <row r="37" spans="1:33" s="838" customFormat="1" ht="15.75" customHeight="1" thickBot="1">
      <c r="A37" s="781" t="s">
        <v>274</v>
      </c>
      <c r="B37" s="835" t="s">
        <v>94</v>
      </c>
      <c r="C37" s="835"/>
      <c r="D37" s="836">
        <f>IF(D6="","",D6)</f>
      </c>
      <c r="E37" s="837"/>
      <c r="F37" s="836">
        <f>IF(F6="","",F6)</f>
      </c>
      <c r="G37" s="837"/>
      <c r="H37" s="836">
        <f>IF(H6="","",H6)</f>
      </c>
      <c r="I37" s="837"/>
      <c r="J37" s="836">
        <f>IF(J6="","",J6)</f>
      </c>
      <c r="K37" s="837"/>
      <c r="L37" s="836">
        <f>IF(L6="","",L6)</f>
      </c>
      <c r="M37" s="837"/>
      <c r="N37" s="836">
        <f>IF(N6="","",N6)</f>
      </c>
      <c r="O37" s="837"/>
      <c r="P37" s="836">
        <f>IF(P6="","",P6)</f>
      </c>
      <c r="Q37" s="837"/>
      <c r="R37"/>
      <c r="S37"/>
      <c r="T37"/>
      <c r="U37"/>
      <c r="V37"/>
      <c r="W37"/>
      <c r="X37"/>
      <c r="Y37"/>
      <c r="Z37"/>
      <c r="AA37"/>
      <c r="AB37"/>
      <c r="AC37"/>
      <c r="AD37"/>
      <c r="AE37"/>
      <c r="AF37"/>
      <c r="AG37"/>
    </row>
    <row r="38" spans="1:17" ht="12.75">
      <c r="A38" s="839"/>
      <c r="B38" s="1009" t="s">
        <v>502</v>
      </c>
      <c r="C38" s="1009"/>
      <c r="D38" s="1010">
        <f>IF(D8="","",D$5*D8+E$5*E8)</f>
      </c>
      <c r="E38" s="1011"/>
      <c r="F38" s="1010">
        <f>IF(F8="","",F$5*F8+G$5*G8)</f>
      </c>
      <c r="G38" s="1011"/>
      <c r="H38" s="1010">
        <f>IF(H8="","",H$5*H8+I$5*I8)</f>
      </c>
      <c r="I38" s="1011"/>
      <c r="J38" s="1010">
        <f>IF(J8="","",J$5*J8+K$5*K8)</f>
      </c>
      <c r="K38" s="1011"/>
      <c r="L38" s="1010">
        <f>IF(L8="","",L$5*L8+M$5*M8)</f>
      </c>
      <c r="M38" s="1011"/>
      <c r="N38" s="1010">
        <f>IF(N8="","",N$5*N8+O$5*O8)</f>
      </c>
      <c r="O38" s="1011"/>
      <c r="P38" s="1010">
        <f>IF(P8="","",P$5*P8+Q$5*Q8)</f>
      </c>
      <c r="Q38" s="1011"/>
    </row>
    <row r="39" spans="1:17" ht="12.75">
      <c r="A39" s="839"/>
      <c r="B39" s="1009" t="s">
        <v>503</v>
      </c>
      <c r="C39" s="1009"/>
      <c r="D39" s="1010">
        <f>IF(D9="","",D$5*D9+E$5*E9)</f>
      </c>
      <c r="E39" s="1011"/>
      <c r="F39" s="1010">
        <f>IF(F9="","",F$5*F9+G$5*G9)</f>
      </c>
      <c r="G39" s="1011"/>
      <c r="H39" s="1010">
        <f>IF(H9="","",H$5*H9+I$5*I9)</f>
      </c>
      <c r="I39" s="1011"/>
      <c r="J39" s="1010">
        <f>IF(J9="","",J$5*J9+K$5*K9)</f>
      </c>
      <c r="K39" s="1011"/>
      <c r="L39" s="1010">
        <f>IF(L9="","",L$5*L9+M$5*M9)</f>
      </c>
      <c r="M39" s="1011"/>
      <c r="N39" s="1010">
        <f>IF(N9="","",N$5*N9+O$5*O9)</f>
      </c>
      <c r="O39" s="1011"/>
      <c r="P39" s="1010">
        <f>IF(P9="","",P$5*P9+Q$5*Q9)</f>
      </c>
      <c r="Q39" s="1011"/>
    </row>
    <row r="40" spans="1:17" ht="12.75">
      <c r="A40" s="839"/>
      <c r="B40" s="1009" t="s">
        <v>504</v>
      </c>
      <c r="C40" s="1009"/>
      <c r="D40" s="1010">
        <f>IF(D10="","",D$5*D10+E$5*E10)</f>
      </c>
      <c r="E40" s="1011"/>
      <c r="F40" s="1010">
        <f>IF(F10="","",F$5*F10+G$5*G10)</f>
      </c>
      <c r="G40" s="1011"/>
      <c r="H40" s="1010">
        <f>IF(H10="","",H$5*H10+I$5*I10)</f>
      </c>
      <c r="I40" s="1011"/>
      <c r="J40" s="1010">
        <f>IF(J10="","",J$5*J10+K$5*K10)</f>
      </c>
      <c r="K40" s="1011"/>
      <c r="L40" s="1010">
        <f>IF(L10="","",L$5*L10+M$5*M10)</f>
      </c>
      <c r="M40" s="1011"/>
      <c r="N40" s="1010">
        <f>IF(N10="","",N$5*N10+O$5*O10)</f>
      </c>
      <c r="O40" s="1011"/>
      <c r="P40" s="1010">
        <f>IF(P10="","",P$5*P10+Q$5*Q10)</f>
      </c>
      <c r="Q40" s="1011"/>
    </row>
    <row r="41" spans="1:17" ht="12.75">
      <c r="A41" s="839"/>
      <c r="B41" s="1009" t="s">
        <v>275</v>
      </c>
      <c r="C41" s="1009"/>
      <c r="D41" s="1012">
        <f>IF(D14="","",D$5*D14+E$5*E14)</f>
      </c>
      <c r="E41" s="1011"/>
      <c r="F41" s="1012">
        <f>IF(F14="","",F$5*F14+G$5*G14)</f>
      </c>
      <c r="G41" s="1011"/>
      <c r="H41" s="1012">
        <f>IF(H14="","",H$5*H14+I$5*I14)</f>
      </c>
      <c r="I41" s="1011"/>
      <c r="J41" s="1012">
        <f>IF(J14="","",J$5*J14+K$5*K14)</f>
      </c>
      <c r="K41" s="1011"/>
      <c r="L41" s="1012">
        <f>IF(L14="","",L$5*L14+M$5*M14)</f>
      </c>
      <c r="M41" s="1011"/>
      <c r="N41" s="1012">
        <f>IF(N14="","",N$5*N14+O$5*O14)</f>
      </c>
      <c r="O41" s="1011"/>
      <c r="P41" s="1012">
        <f>IF(P14="","",P$5*P14+Q$5*Q14)</f>
      </c>
      <c r="Q41" s="1011"/>
    </row>
    <row r="42" spans="1:17" ht="12.75">
      <c r="A42" s="839"/>
      <c r="B42" s="1009" t="s">
        <v>276</v>
      </c>
      <c r="C42" s="1009"/>
      <c r="D42" s="1012">
        <f>IF(D16="","",D$5*D16+E$5*E16)</f>
      </c>
      <c r="E42" s="1011"/>
      <c r="F42" s="1012">
        <f>IF(F16="","",F$5*F16+G$5*G16)</f>
      </c>
      <c r="G42" s="1011"/>
      <c r="H42" s="1012">
        <f>IF(H16="","",H$5*H16+I$5*I16)</f>
      </c>
      <c r="I42" s="1011"/>
      <c r="J42" s="1012">
        <f>IF(J16="","",J$5*J16+K$5*K16)</f>
      </c>
      <c r="K42" s="1011"/>
      <c r="L42" s="1012">
        <f>IF(L16="","",L$5*L16+M$5*M16)</f>
      </c>
      <c r="M42" s="1011"/>
      <c r="N42" s="1012">
        <f>IF(N16="","",N$5*N16+O$5*O16)</f>
      </c>
      <c r="O42" s="1011"/>
      <c r="P42" s="1012">
        <f>IF(P16="","",P$5*P16+Q$5*Q16)</f>
      </c>
      <c r="Q42" s="1011"/>
    </row>
    <row r="43" spans="1:17" ht="12.75">
      <c r="A43" s="839"/>
      <c r="B43" s="1009" t="s">
        <v>277</v>
      </c>
      <c r="C43" s="1009"/>
      <c r="D43" s="1012">
        <f>IF(D17="","",D$5*D17+E$5*E17)</f>
      </c>
      <c r="E43" s="1011"/>
      <c r="F43" s="1012">
        <f>IF(F17="","",F$5*F17+G$5*G17)</f>
      </c>
      <c r="G43" s="1011"/>
      <c r="H43" s="1012">
        <f>IF(H17="","",H$5*H17+I$5*I17)</f>
      </c>
      <c r="I43" s="1011"/>
      <c r="J43" s="1012">
        <f>IF(J17="","",J$5*J17+K$5*K17)</f>
      </c>
      <c r="K43" s="1011"/>
      <c r="L43" s="1012">
        <f>IF(L17="","",L$5*L17+M$5*M17)</f>
      </c>
      <c r="M43" s="1011"/>
      <c r="N43" s="1012">
        <f>IF(N17="","",N$5*N17+O$5*O17)</f>
      </c>
      <c r="O43" s="1011"/>
      <c r="P43" s="1012">
        <f>IF(P17="","",P$5*P17+Q$5*Q17)</f>
      </c>
      <c r="Q43" s="1011"/>
    </row>
    <row r="44" spans="1:17" ht="12.75">
      <c r="A44" s="839"/>
      <c r="B44" s="1009" t="s">
        <v>278</v>
      </c>
      <c r="C44" s="1009"/>
      <c r="D44" s="1012">
        <f>IF(D18="","",D$5*D18+E$5*E18)</f>
      </c>
      <c r="E44" s="1011"/>
      <c r="F44" s="1012">
        <f>IF(F18="","",F$5*F18+G$5*G18)</f>
      </c>
      <c r="G44" s="1011"/>
      <c r="H44" s="1012">
        <f>IF(H18="","",H$5*H18+I$5*I18)</f>
      </c>
      <c r="I44" s="1011"/>
      <c r="J44" s="1012">
        <f>IF(J18="","",J$5*J18+K$5*K18)</f>
      </c>
      <c r="K44" s="1011"/>
      <c r="L44" s="1012">
        <f>IF(L18="","",L$5*L18+M$5*M18)</f>
      </c>
      <c r="M44" s="1011"/>
      <c r="N44" s="1012">
        <f>IF(N18="","",N$5*N18+O$5*O18)</f>
      </c>
      <c r="O44" s="1011"/>
      <c r="P44" s="1012">
        <f>IF(P18="","",P$5*P18+Q$5*Q18)</f>
      </c>
      <c r="Q44" s="1011"/>
    </row>
    <row r="45" spans="1:17" ht="12.75">
      <c r="A45" s="839"/>
      <c r="B45" s="1009" t="s">
        <v>279</v>
      </c>
      <c r="C45" s="1009"/>
      <c r="D45" s="1012">
        <f>IF(D22="","",D$5*D22+E$5*E22)</f>
      </c>
      <c r="E45" s="1011"/>
      <c r="F45" s="1012">
        <f>IF(F22="","",F$5*F22+G$5*G22)</f>
      </c>
      <c r="G45" s="1011"/>
      <c r="H45" s="1012">
        <f>IF(H22="","",H$5*H22+I$5*I22)</f>
      </c>
      <c r="I45" s="1011"/>
      <c r="J45" s="1012">
        <f>IF(J22="","",J$5*J22+K$5*K22)</f>
      </c>
      <c r="K45" s="1011"/>
      <c r="L45" s="1012">
        <f>IF(L22="","",L$5*L22+M$5*M22)</f>
      </c>
      <c r="M45" s="1011"/>
      <c r="N45" s="1012">
        <f>IF(N22="","",N$5*N22+O$5*O22)</f>
      </c>
      <c r="O45" s="1011"/>
      <c r="P45" s="1012">
        <f>IF(P22="","",P$5*P22+Q$5*Q22)</f>
      </c>
      <c r="Q45" s="1011"/>
    </row>
    <row r="46" spans="1:17" ht="13.5" thickBot="1">
      <c r="A46" s="839"/>
      <c r="B46" s="1009" t="s">
        <v>280</v>
      </c>
      <c r="C46" s="1009"/>
      <c r="D46" s="1012">
        <f>IF(D23="","",D$5*D23+E$5*E23)</f>
      </c>
      <c r="E46" s="1013"/>
      <c r="F46" s="1012">
        <f>IF(F23="","",F$5*F23+G$5*G23)</f>
      </c>
      <c r="G46" s="1013"/>
      <c r="H46" s="1012">
        <f>IF(H23="","",H$5*H23+I$5*I23)</f>
      </c>
      <c r="I46" s="1013"/>
      <c r="J46" s="1012">
        <f>IF(J23="","",J$5*J23+K$5*K23)</f>
      </c>
      <c r="K46" s="1013"/>
      <c r="L46" s="1012">
        <f>IF(L23="","",L$5*L23+M$5*M23)</f>
      </c>
      <c r="M46" s="1013"/>
      <c r="N46" s="1012">
        <f>IF(N23="","",N$5*N23+O$5*O23)</f>
      </c>
      <c r="O46" s="1013"/>
      <c r="P46" s="1012">
        <f>IF(P23="","",P$5*P23+Q$5*Q23)</f>
      </c>
      <c r="Q46" s="1013"/>
    </row>
    <row r="47" spans="1:33" s="845" customFormat="1" ht="15.75" customHeight="1" thickBot="1">
      <c r="A47" s="840" t="s">
        <v>281</v>
      </c>
      <c r="B47" s="841"/>
      <c r="C47" s="841"/>
      <c r="D47" s="842"/>
      <c r="E47" s="843"/>
      <c r="F47" s="842"/>
      <c r="G47" s="843"/>
      <c r="H47" s="842"/>
      <c r="I47" s="843"/>
      <c r="J47" s="842"/>
      <c r="K47" s="843"/>
      <c r="L47" s="842"/>
      <c r="M47" s="843"/>
      <c r="N47" s="842"/>
      <c r="O47" s="843"/>
      <c r="P47" s="842"/>
      <c r="Q47" s="844"/>
      <c r="R47"/>
      <c r="S47"/>
      <c r="T47"/>
      <c r="U47"/>
      <c r="V47"/>
      <c r="W47"/>
      <c r="X47"/>
      <c r="Y47"/>
      <c r="Z47"/>
      <c r="AA47"/>
      <c r="AB47"/>
      <c r="AC47"/>
      <c r="AD47"/>
      <c r="AE47"/>
      <c r="AF47"/>
      <c r="AG47"/>
    </row>
    <row r="48" spans="1:17" ht="12.75">
      <c r="A48" s="846"/>
      <c r="B48" s="1014" t="s">
        <v>505</v>
      </c>
      <c r="C48" s="1014"/>
      <c r="D48" s="1015">
        <f>IF(D38="","",D38*D$68)</f>
      </c>
      <c r="E48" s="1016"/>
      <c r="F48" s="1015">
        <f>IF(F38="","",F38*F$68)</f>
      </c>
      <c r="G48" s="1016"/>
      <c r="H48" s="1015">
        <f>IF(H38="","",H38*H$68)</f>
      </c>
      <c r="I48" s="1016"/>
      <c r="J48" s="1015">
        <f>IF(J38="","",J38*J$68)</f>
      </c>
      <c r="K48" s="1016"/>
      <c r="L48" s="1015">
        <f>IF(L38="","",L38*L$68)</f>
      </c>
      <c r="M48" s="1016"/>
      <c r="N48" s="1015">
        <f>IF(N38="","",N38*N$68)</f>
      </c>
      <c r="O48" s="1016"/>
      <c r="P48" s="1015">
        <f>IF(P38="","",P38*P$68)</f>
      </c>
      <c r="Q48" s="1016"/>
    </row>
    <row r="49" spans="1:17" ht="12.75">
      <c r="A49" s="839"/>
      <c r="B49" s="1009" t="s">
        <v>506</v>
      </c>
      <c r="C49" s="1009"/>
      <c r="D49" s="1010">
        <f>IF(D39="","",D39*D$68)</f>
      </c>
      <c r="E49" s="1017"/>
      <c r="F49" s="1010">
        <f>IF(F39="","",F39*F$68)</f>
      </c>
      <c r="G49" s="1017"/>
      <c r="H49" s="1010">
        <f>IF(H39="","",H39*H$68)</f>
      </c>
      <c r="I49" s="1017"/>
      <c r="J49" s="1010">
        <f>IF(J39="","",J39*J$68)</f>
      </c>
      <c r="K49" s="1017"/>
      <c r="L49" s="1010">
        <f>IF(L39="","",L39*L$68)</f>
      </c>
      <c r="M49" s="1017"/>
      <c r="N49" s="1010">
        <f>IF(N39="","",N39*N$68)</f>
      </c>
      <c r="O49" s="1017"/>
      <c r="P49" s="1010">
        <f>IF(P39="","",P39*P$68)</f>
      </c>
      <c r="Q49" s="1017"/>
    </row>
    <row r="50" spans="1:17" ht="12.75">
      <c r="A50" s="839"/>
      <c r="B50" s="1009" t="s">
        <v>507</v>
      </c>
      <c r="C50" s="1009"/>
      <c r="D50" s="1010">
        <f>IF(D40="","",D40*D$68)</f>
      </c>
      <c r="E50" s="1017"/>
      <c r="F50" s="1010">
        <f>IF(F40="","",F40*F$68)</f>
      </c>
      <c r="G50" s="1017"/>
      <c r="H50" s="1010">
        <f>IF(H40="","",H40*H$68)</f>
      </c>
      <c r="I50" s="1017"/>
      <c r="J50" s="1010">
        <f>IF(J40="","",J40*J$68)</f>
      </c>
      <c r="K50" s="1017"/>
      <c r="L50" s="1010">
        <f>IF(L40="","",L40*L$68)</f>
      </c>
      <c r="M50" s="1017"/>
      <c r="N50" s="1010">
        <f>IF(N40="","",N40*N$68)</f>
      </c>
      <c r="O50" s="1017"/>
      <c r="P50" s="1010">
        <f>IF(P40="","",P40*P$68)</f>
      </c>
      <c r="Q50" s="1017"/>
    </row>
    <row r="51" spans="1:17" ht="12.75">
      <c r="A51" s="839"/>
      <c r="B51" s="1009" t="s">
        <v>99</v>
      </c>
      <c r="C51" s="1009"/>
      <c r="D51" s="1018">
        <f>IF(D11="","",MAX(D11,E11))</f>
      </c>
      <c r="E51" s="1019"/>
      <c r="F51" s="1018">
        <f>IF(F11="","",MAX(F11,G11))</f>
      </c>
      <c r="G51" s="1019"/>
      <c r="H51" s="1018">
        <f>IF(H11="","",MAX(H11,I11))</f>
      </c>
      <c r="I51" s="1019"/>
      <c r="J51" s="1018">
        <f>IF(J11="","",MAX(J11,K11))</f>
      </c>
      <c r="K51" s="1019"/>
      <c r="L51" s="1018">
        <f>IF(L11="","",MAX(L11,M11))</f>
      </c>
      <c r="M51" s="1019"/>
      <c r="N51" s="1018">
        <f>IF(N11="","",MAX(N11,O11))</f>
      </c>
      <c r="O51" s="1019"/>
      <c r="P51" s="1018">
        <f>IF(P11="","",MAX(P11,Q11))</f>
      </c>
      <c r="Q51" s="1019"/>
    </row>
    <row r="52" spans="1:17" ht="12.75">
      <c r="A52" s="839"/>
      <c r="B52" s="1009" t="s">
        <v>100</v>
      </c>
      <c r="C52" s="1009"/>
      <c r="D52" s="1020">
        <f>IF(D12="","",MAX(D12,E12))</f>
      </c>
      <c r="E52" s="1021"/>
      <c r="F52" s="1020">
        <f>IF(F12="","",MAX(F12,G12))</f>
      </c>
      <c r="G52" s="1021"/>
      <c r="H52" s="1020">
        <f>IF(H12="","",MAX(H12,I12))</f>
      </c>
      <c r="I52" s="1021"/>
      <c r="J52" s="1020">
        <f>IF(J12="","",MAX(J12,K12))</f>
      </c>
      <c r="K52" s="1021"/>
      <c r="L52" s="1020">
        <f>IF(L12="","",MAX(L12,M12))</f>
      </c>
      <c r="M52" s="1021"/>
      <c r="N52" s="1020">
        <f>IF(N12="","",MAX(N12,O12))</f>
      </c>
      <c r="O52" s="1021"/>
      <c r="P52" s="1020">
        <f>IF(P12="","",MAX(P12,Q12))</f>
      </c>
      <c r="Q52" s="1021"/>
    </row>
    <row r="53" spans="1:17" ht="12.75">
      <c r="A53" s="839"/>
      <c r="B53" s="1009" t="s">
        <v>101</v>
      </c>
      <c r="C53" s="1009"/>
      <c r="D53" s="1020">
        <f>IF(D13="","",MAX(D13,E13))</f>
      </c>
      <c r="E53" s="1021"/>
      <c r="F53" s="1020">
        <f>IF(F13="","",MAX(F13,G13))</f>
      </c>
      <c r="G53" s="1021"/>
      <c r="H53" s="1020">
        <f>IF(H13="","",MAX(H13,I13))</f>
      </c>
      <c r="I53" s="1021"/>
      <c r="J53" s="1020">
        <f>IF(J13="","",MAX(J13,K13))</f>
      </c>
      <c r="K53" s="1021"/>
      <c r="L53" s="1020">
        <f>IF(L13="","",MAX(L13,M13))</f>
      </c>
      <c r="M53" s="1021"/>
      <c r="N53" s="1020">
        <f>IF(N13="","",MAX(N13,O13))</f>
      </c>
      <c r="O53" s="1021"/>
      <c r="P53" s="1020">
        <f>IF(P13="","",MAX(P13,Q13))</f>
      </c>
      <c r="Q53" s="1021"/>
    </row>
    <row r="54" spans="1:17" ht="12.75">
      <c r="A54" s="839"/>
      <c r="B54" s="1022" t="s">
        <v>103</v>
      </c>
      <c r="C54" s="1022"/>
      <c r="D54" s="1012">
        <f>IF(D45="","",D45*D$68)</f>
      </c>
      <c r="E54" s="1019"/>
      <c r="F54" s="1012">
        <f>IF(F45="","",F45*F$68)</f>
      </c>
      <c r="G54" s="1019"/>
      <c r="H54" s="1012">
        <f>IF(H45="","",H45*H$68)</f>
      </c>
      <c r="I54" s="1019"/>
      <c r="J54" s="1012">
        <f>IF(J45="","",J45*J$68)</f>
      </c>
      <c r="K54" s="1019"/>
      <c r="L54" s="1012">
        <f>IF(L45="","",L45*L$68)</f>
      </c>
      <c r="M54" s="1019"/>
      <c r="N54" s="1012">
        <f>IF(N45="","",N45*N$68)</f>
      </c>
      <c r="O54" s="1019"/>
      <c r="P54" s="1012">
        <f>IF(P45="","",P45*P$68)</f>
      </c>
      <c r="Q54" s="1019"/>
    </row>
    <row r="55" spans="1:17" ht="12.75">
      <c r="A55" s="839"/>
      <c r="B55" s="1009" t="s">
        <v>102</v>
      </c>
      <c r="C55" s="1009"/>
      <c r="D55" s="1020">
        <f>IF(D15="","",(D$5*D15+E$5*E15)/(D$5+E$5))</f>
      </c>
      <c r="E55" s="1021"/>
      <c r="F55" s="1020">
        <f>IF(F15="","",(F$5*F15+G$5*G15)/(F$5+G$5))</f>
      </c>
      <c r="G55" s="1021"/>
      <c r="H55" s="1020">
        <f>IF(H15="","",(H$5*H15+I$5*I15)/(H$5+I$5))</f>
      </c>
      <c r="I55" s="1021"/>
      <c r="J55" s="1020">
        <f>IF(J15="","",(J$5*J15+K$5*K15)/(J$5+K$5))</f>
      </c>
      <c r="K55" s="1021"/>
      <c r="L55" s="1020">
        <f>IF(L15="","",(L$5*L15+M$5*M15)/(L$5+M$5))</f>
      </c>
      <c r="M55" s="1021"/>
      <c r="N55" s="1020">
        <f>IF(N15="","",(N$5*N15+O$5*O15)/(N$5+O$5))</f>
      </c>
      <c r="O55" s="1021"/>
      <c r="P55" s="1020">
        <f>IF(P15="","",(P$5*P15+Q$5*Q15)/(P$5+Q$5))</f>
      </c>
      <c r="Q55" s="1021"/>
    </row>
    <row r="56" spans="1:17" ht="12.75">
      <c r="A56" s="839"/>
      <c r="B56" s="1022" t="s">
        <v>501</v>
      </c>
      <c r="C56" s="1022"/>
      <c r="D56" s="1023">
        <f>IF(D42="","",D42*D$68)</f>
      </c>
      <c r="E56" s="1024"/>
      <c r="F56" s="1023">
        <f>IF(F42="","",F42*F$68)</f>
      </c>
      <c r="G56" s="1024"/>
      <c r="H56" s="1023">
        <f>IF(H42="","",H42*H$68)</f>
      </c>
      <c r="I56" s="1024"/>
      <c r="J56" s="1023">
        <f>IF(J42="","",J42*J$68)</f>
      </c>
      <c r="K56" s="1024"/>
      <c r="L56" s="1023">
        <f>IF(L42="","",L42*L$68)</f>
      </c>
      <c r="M56" s="1024"/>
      <c r="N56" s="1023">
        <f>IF(N42="","",N42*N$68)</f>
      </c>
      <c r="O56" s="1024"/>
      <c r="P56" s="1023">
        <f>IF(P42="","",P42*P$68)</f>
      </c>
      <c r="Q56" s="1024"/>
    </row>
    <row r="57" spans="1:17" ht="12.75">
      <c r="A57" s="839"/>
      <c r="B57" s="1022" t="s">
        <v>105</v>
      </c>
      <c r="C57" s="1022"/>
      <c r="D57" s="1023">
        <f>IF(D43="","",D43*D$68)</f>
      </c>
      <c r="E57" s="1024"/>
      <c r="F57" s="1023">
        <f>IF(F43="","",F43*F$68)</f>
      </c>
      <c r="G57" s="1024"/>
      <c r="H57" s="1023">
        <f>IF(H43="","",H43*H$68)</f>
      </c>
      <c r="I57" s="1024"/>
      <c r="J57" s="1023">
        <f>IF(J43="","",J43*J$68)</f>
      </c>
      <c r="K57" s="1024"/>
      <c r="L57" s="1023">
        <f>IF(L43="","",L43*L$68)</f>
      </c>
      <c r="M57" s="1024"/>
      <c r="N57" s="1023">
        <f>IF(N43="","",N43*N$68)</f>
      </c>
      <c r="O57" s="1024"/>
      <c r="P57" s="1023">
        <f>IF(P43="","",P43*P$68)</f>
      </c>
      <c r="Q57" s="1024"/>
    </row>
    <row r="58" spans="1:17" ht="12.75">
      <c r="A58" s="839"/>
      <c r="B58" s="1022" t="s">
        <v>106</v>
      </c>
      <c r="C58" s="1022"/>
      <c r="D58" s="1023">
        <f>IF(D44="","",D44*D$68)</f>
      </c>
      <c r="E58" s="1024"/>
      <c r="F58" s="1023">
        <f>IF(F44="","",F44*F$68)</f>
      </c>
      <c r="G58" s="1024"/>
      <c r="H58" s="1023">
        <f>IF(H44="","",H44*H$68)</f>
      </c>
      <c r="I58" s="1024"/>
      <c r="J58" s="1023">
        <f>IF(J44="","",J44*J$68)</f>
      </c>
      <c r="K58" s="1024"/>
      <c r="L58" s="1023">
        <f>IF(L44="","",L44*L$68)</f>
      </c>
      <c r="M58" s="1024"/>
      <c r="N58" s="1023">
        <f>IF(N44="","",N44*N$68)</f>
      </c>
      <c r="O58" s="1024"/>
      <c r="P58" s="1023">
        <f>IF(P44="","",P44*P$68)</f>
      </c>
      <c r="Q58" s="1024"/>
    </row>
    <row r="59" spans="1:17" ht="12.75">
      <c r="A59" s="839"/>
      <c r="B59" s="1022" t="s">
        <v>107</v>
      </c>
      <c r="C59" s="1022"/>
      <c r="D59" s="1025">
        <f>IF(D19="","",AVERAGE(D19,E19))</f>
      </c>
      <c r="E59" s="1026"/>
      <c r="F59" s="1025">
        <f>IF(F19="","",AVERAGE(F19,G19))</f>
      </c>
      <c r="G59" s="1026"/>
      <c r="H59" s="1025">
        <f>IF(H19="","",AVERAGE(H19,I19))</f>
      </c>
      <c r="I59" s="1026"/>
      <c r="J59" s="1025">
        <f>IF(J19="","",AVERAGE(J19,K19))</f>
      </c>
      <c r="K59" s="1026"/>
      <c r="L59" s="1025">
        <f>IF(L19="","",AVERAGE(L19,M19))</f>
      </c>
      <c r="M59" s="1026"/>
      <c r="N59" s="1025">
        <f>IF(N19="","",AVERAGE(N19,O19))</f>
      </c>
      <c r="O59" s="1026"/>
      <c r="P59" s="1025">
        <f>IF(P19="","",AVERAGE(P19,Q19))</f>
      </c>
      <c r="Q59" s="1026"/>
    </row>
    <row r="60" spans="1:17" ht="12.75">
      <c r="A60" s="839"/>
      <c r="B60" s="1009" t="s">
        <v>499</v>
      </c>
      <c r="C60" s="1009"/>
      <c r="D60" s="1027">
        <f>IF(D20="","",(D$5*D20+E$5*E20)/(D$5+E$5))</f>
      </c>
      <c r="E60" s="1028"/>
      <c r="F60" s="1027">
        <f>IF(F20="","",(F$5*F20+G$5*G20)/(F$5+G$5))</f>
      </c>
      <c r="G60" s="1028"/>
      <c r="H60" s="1027">
        <f>IF(H20="","",(H$5*H20+I$5*I20)/(H$5+I$5))</f>
      </c>
      <c r="I60" s="1028"/>
      <c r="J60" s="1027">
        <f>IF(J20="","",(J$5*J20+K$5*K20)/(J$5+K$5))</f>
      </c>
      <c r="K60" s="1028"/>
      <c r="L60" s="1027">
        <f>IF(L20="","",(L$5*L20+M$5*M20)/(L$5+M$5))</f>
      </c>
      <c r="M60" s="1028"/>
      <c r="N60" s="1027">
        <f>IF(N20="","",(N$5*N20+O$5*O20)/(N$5+O$5))</f>
      </c>
      <c r="O60" s="1028"/>
      <c r="P60" s="1027">
        <f>IF(P20="","",(P$5*P20+Q$5*Q20)/(P$5+Q$5))</f>
      </c>
      <c r="Q60" s="1028"/>
    </row>
    <row r="61" spans="1:17" ht="12.75">
      <c r="A61" s="839"/>
      <c r="B61" s="1022" t="s">
        <v>110</v>
      </c>
      <c r="C61" s="1022"/>
      <c r="D61" s="1030">
        <f>IF(D21="","",(D$5*D21+E$5*E21)/(D$5+E$5))</f>
      </c>
      <c r="E61" s="1031"/>
      <c r="F61" s="1030">
        <f>IF(F21="","",(F$5*F21+G$5*G21)/(F$5+G$5))</f>
      </c>
      <c r="G61" s="1031"/>
      <c r="H61" s="1030">
        <f>IF(H21="","",(H$5*H21+I$5*I21)/(H$5+I$5))</f>
      </c>
      <c r="I61" s="1031"/>
      <c r="J61" s="1030">
        <f>IF(J21="","",(J$5*J21+K$5*K21)/(J$5+K$5))</f>
      </c>
      <c r="K61" s="1031"/>
      <c r="L61" s="1030">
        <f>IF(L21="","",(L$5*L21+M$5*M21)/(L$5+M$5))</f>
      </c>
      <c r="M61" s="1031"/>
      <c r="N61" s="1030">
        <f>IF(N21="","",(N$5*N21+O$5*O21)/(N$5+O$5))</f>
      </c>
      <c r="O61" s="1031"/>
      <c r="P61" s="1030">
        <f>IF(P21="","",(P$5*P21+Q$5*Q21)/(P$5+Q$5))</f>
      </c>
      <c r="Q61" s="1031"/>
    </row>
    <row r="62" spans="1:17" ht="12.75">
      <c r="A62" s="839"/>
      <c r="B62" s="1009" t="s">
        <v>109</v>
      </c>
      <c r="C62" s="1009"/>
      <c r="D62" s="1012">
        <f>IF(D45="","",D45*D$68)</f>
      </c>
      <c r="E62" s="1029"/>
      <c r="F62" s="1012">
        <f>IF(F45="","",F45*F$68)</f>
      </c>
      <c r="G62" s="1029"/>
      <c r="H62" s="1012">
        <f>IF(H45="","",H45*H$68)</f>
      </c>
      <c r="I62" s="1029"/>
      <c r="J62" s="1012">
        <f>IF(J45="","",J45*J$68)</f>
      </c>
      <c r="K62" s="1029"/>
      <c r="L62" s="1012">
        <f>IF(L45="","",L45*L$68)</f>
      </c>
      <c r="M62" s="1029"/>
      <c r="N62" s="1012">
        <f>IF(N45="","",N45*N$68)</f>
      </c>
      <c r="O62" s="1029"/>
      <c r="P62" s="1012">
        <f>IF(P45="","",P45*P$68)</f>
      </c>
      <c r="Q62" s="1029"/>
    </row>
    <row r="63" spans="1:17" ht="12.75">
      <c r="A63" s="839"/>
      <c r="B63" s="1009" t="s">
        <v>111</v>
      </c>
      <c r="C63" s="1009"/>
      <c r="D63" s="1012">
        <f>IF(D46="","",D46*D$68)</f>
      </c>
      <c r="E63" s="1029"/>
      <c r="F63" s="1012">
        <f>IF(F46="","",F46*F$68)</f>
      </c>
      <c r="G63" s="1029"/>
      <c r="H63" s="1012">
        <f>IF(H46="","",H46*H$68)</f>
      </c>
      <c r="I63" s="1029"/>
      <c r="J63" s="1012">
        <f>IF(J46="","",J46*J$68)</f>
      </c>
      <c r="K63" s="1029"/>
      <c r="L63" s="1012">
        <f>IF(L46="","",L46*L$68)</f>
      </c>
      <c r="M63" s="1029"/>
      <c r="N63" s="1012">
        <f>IF(N46="","",N46*N$68)</f>
      </c>
      <c r="O63" s="1029"/>
      <c r="P63" s="1012">
        <f>IF(P46="","",P46*P$68)</f>
      </c>
      <c r="Q63" s="1029"/>
    </row>
    <row r="64" spans="1:17" ht="12.75">
      <c r="A64" s="839"/>
      <c r="B64" s="1022" t="s">
        <v>496</v>
      </c>
      <c r="C64" s="1022"/>
      <c r="D64" s="1032">
        <f>IF(D24="","",(D$5*D24+E$5*E24)/(D$5+E$5))</f>
      </c>
      <c r="E64" s="1033"/>
      <c r="F64" s="1032">
        <f>IF(F24="","",(F$5*F24+G$5*G24)/(F$5+G$5))</f>
      </c>
      <c r="G64" s="1033"/>
      <c r="H64" s="1032">
        <f>IF(H24="","",(H$5*H24+I$5*I24)/(H$5+I$5))</f>
      </c>
      <c r="I64" s="1033"/>
      <c r="J64" s="1032">
        <f>IF(J24="","",(J$5*J24+K$5*K24)/(J$5+K$5))</f>
      </c>
      <c r="K64" s="1033"/>
      <c r="L64" s="1032">
        <f>IF(L24="","",(L$5*L24+M$5*M24)/(L$5+M$5))</f>
      </c>
      <c r="M64" s="1033"/>
      <c r="N64" s="1032">
        <f>IF(N24="","",(N$5*N24+O$5*O24)/(N$5+O$5))</f>
      </c>
      <c r="O64" s="1033"/>
      <c r="P64" s="1032">
        <f>IF(P24="","",(P$5*P24+Q$5*Q24)/(P$5+Q$5))</f>
      </c>
      <c r="Q64" s="1033"/>
    </row>
    <row r="65" spans="1:17" ht="13.5" thickBot="1">
      <c r="A65" s="847"/>
      <c r="B65" s="1034" t="s">
        <v>497</v>
      </c>
      <c r="C65" s="1034"/>
      <c r="D65" s="1035">
        <f>IF(D25="","",(D$5*D25+E$5*E25)/(D$5+E$5))</f>
      </c>
      <c r="E65" s="1036"/>
      <c r="F65" s="1035">
        <f>IF(F25="","",(F$5*F25+G$5*G25)/(F$5+G$5))</f>
      </c>
      <c r="G65" s="1036"/>
      <c r="H65" s="1035">
        <f>IF(H25="","",(H$5*H25+I$5*I25)/(H$5+I$5))</f>
      </c>
      <c r="I65" s="1036"/>
      <c r="J65" s="1035">
        <f>IF(J25="","",(J$5*J25+K$5*K25)/(J$5+K$5))</f>
      </c>
      <c r="K65" s="1036"/>
      <c r="L65" s="1035">
        <f>IF(L25="","",(L$5*L25+M$5*M25)/(L$5+M$5))</f>
      </c>
      <c r="M65" s="1036"/>
      <c r="N65" s="1035">
        <f>IF(N25="","",(N$5*N25+O$5*O25)/(N$5+O$5))</f>
      </c>
      <c r="O65" s="1036"/>
      <c r="P65" s="1035">
        <f>IF(P25="","",(P$5*P25+Q$5*Q25)/(P$5+Q$5))</f>
      </c>
      <c r="Q65" s="1036"/>
    </row>
    <row r="66" spans="1:33" s="322" customFormat="1" ht="39" customHeight="1" thickBot="1">
      <c r="A66" s="848" t="s">
        <v>282</v>
      </c>
      <c r="B66" s="849" t="s">
        <v>283</v>
      </c>
      <c r="C66" s="849"/>
      <c r="D66" s="999">
        <f>IF(D26="","",D26)</f>
      </c>
      <c r="E66" s="1037"/>
      <c r="F66" s="999">
        <f>IF(F26="","",F26)</f>
      </c>
      <c r="G66" s="1037"/>
      <c r="H66" s="999">
        <f>IF(H26="","",H26)</f>
      </c>
      <c r="I66" s="1037"/>
      <c r="J66" s="999">
        <f>IF(J26="","",J26)</f>
      </c>
      <c r="K66" s="1037"/>
      <c r="L66" s="999">
        <f>IF(L26="","",L26)</f>
      </c>
      <c r="M66" s="1037"/>
      <c r="N66" s="999">
        <f>IF(N26="","",N26)</f>
      </c>
      <c r="O66" s="1037"/>
      <c r="P66" s="999">
        <f>IF(P26="","",P26)</f>
      </c>
      <c r="Q66" s="1037"/>
      <c r="R66"/>
      <c r="S66"/>
      <c r="T66"/>
      <c r="U66"/>
      <c r="V66"/>
      <c r="W66"/>
      <c r="X66"/>
      <c r="Y66"/>
      <c r="Z66"/>
      <c r="AA66"/>
      <c r="AB66"/>
      <c r="AC66"/>
      <c r="AD66"/>
      <c r="AE66"/>
      <c r="AF66"/>
      <c r="AG66"/>
    </row>
    <row r="67" spans="1:17" ht="12.75">
      <c r="A67" s="839"/>
      <c r="B67" s="1009" t="s">
        <v>526</v>
      </c>
      <c r="C67" s="1038"/>
      <c r="D67" s="1039">
        <f>IF(D27="","",D27)</f>
      </c>
      <c r="E67" s="1040"/>
      <c r="F67" s="1039">
        <f>IF(F27="","",F27)</f>
      </c>
      <c r="G67" s="1040"/>
      <c r="H67" s="1039">
        <f>IF(H27="","",H27)</f>
      </c>
      <c r="I67" s="1040"/>
      <c r="J67" s="1039">
        <f>IF(J27="","",J27)</f>
      </c>
      <c r="K67" s="1040"/>
      <c r="L67" s="1039">
        <f>IF(L27="","",L27)</f>
      </c>
      <c r="M67" s="1040"/>
      <c r="N67" s="1039">
        <f>IF(N27="","",N27)</f>
      </c>
      <c r="O67" s="1040"/>
      <c r="P67" s="1039">
        <f>IF(P27="","",P27)</f>
      </c>
      <c r="Q67" s="1040"/>
    </row>
    <row r="68" spans="1:17" ht="12.75">
      <c r="A68" s="839"/>
      <c r="B68" s="1009" t="s">
        <v>527</v>
      </c>
      <c r="C68" s="1009"/>
      <c r="D68" s="1041">
        <f>IF(D28="","",D28)</f>
      </c>
      <c r="E68" s="1011"/>
      <c r="F68" s="1041">
        <f>IF(F28="","",F28)</f>
      </c>
      <c r="G68" s="1011"/>
      <c r="H68" s="1041">
        <f>IF(H28="","",H28)</f>
      </c>
      <c r="I68" s="1011"/>
      <c r="J68" s="1041">
        <f>IF(J28="","",J28)</f>
      </c>
      <c r="K68" s="1011"/>
      <c r="L68" s="1041">
        <f>IF(L28="","",L28)</f>
      </c>
      <c r="M68" s="1011"/>
      <c r="N68" s="1041">
        <f>IF(N28="","",N28)</f>
      </c>
      <c r="O68" s="1011"/>
      <c r="P68" s="1041">
        <f>IF(P28="","",P28)</f>
      </c>
      <c r="Q68" s="1011"/>
    </row>
    <row r="69" spans="1:17" ht="12.75">
      <c r="A69" s="839"/>
      <c r="B69" s="1009" t="s">
        <v>271</v>
      </c>
      <c r="C69" s="1009"/>
      <c r="D69" s="1042">
        <f>IF(D29="","",D29)</f>
      </c>
      <c r="E69" s="1011"/>
      <c r="F69" s="1042">
        <f>IF(F29="","",F29)</f>
      </c>
      <c r="G69" s="1011"/>
      <c r="H69" s="1042">
        <f>IF(H29="","",H29)</f>
      </c>
      <c r="I69" s="1011"/>
      <c r="J69" s="1042">
        <f>IF(J29="","",J29)</f>
      </c>
      <c r="K69" s="1011"/>
      <c r="L69" s="1042">
        <f>IF(L29="","",L29)</f>
      </c>
      <c r="M69" s="1011"/>
      <c r="N69" s="1042">
        <f>IF(N29="","",N29)</f>
      </c>
      <c r="O69" s="1011"/>
      <c r="P69" s="1042">
        <f>IF(P29="","",P29)</f>
      </c>
      <c r="Q69" s="1011"/>
    </row>
    <row r="70" spans="1:17" ht="13.5" thickBot="1">
      <c r="A70" s="839"/>
      <c r="B70" s="1009" t="s">
        <v>272</v>
      </c>
      <c r="C70" s="1043"/>
      <c r="D70" s="1044">
        <f>IF(D30="","",D30)</f>
      </c>
      <c r="E70" s="1013"/>
      <c r="F70" s="1044">
        <f>IF(F30="","",F30)</f>
      </c>
      <c r="G70" s="1013"/>
      <c r="H70" s="1044">
        <f>IF(H30="","",H30)</f>
      </c>
      <c r="I70" s="1013"/>
      <c r="J70" s="1044">
        <f>IF(J30="","",J30)</f>
      </c>
      <c r="K70" s="1013"/>
      <c r="L70" s="1044">
        <f>IF(L30="","",L30)</f>
      </c>
      <c r="M70" s="1013"/>
      <c r="N70" s="1044">
        <f>IF(N30="","",N30)</f>
      </c>
      <c r="O70" s="1013"/>
      <c r="P70" s="1044">
        <f>IF(P30="","",P30)</f>
      </c>
      <c r="Q70" s="1013"/>
    </row>
    <row r="71" spans="1:33" s="845" customFormat="1" ht="20.25" customHeight="1" thickBot="1">
      <c r="A71" s="850" t="s">
        <v>284</v>
      </c>
      <c r="B71" s="841"/>
      <c r="C71" s="841"/>
      <c r="D71" s="851">
        <f>IF(OR((D48=""),(D70="")),"",D48+D70)</f>
      </c>
      <c r="E71" s="844"/>
      <c r="F71" s="851">
        <f>IF(OR((F48=""),(F70="")),"",F48+F70)</f>
      </c>
      <c r="G71" s="844"/>
      <c r="H71" s="851">
        <f>IF(OR((H48=""),(H70="")),"",H48+H70)</f>
      </c>
      <c r="I71" s="844"/>
      <c r="J71" s="851">
        <f>IF(OR((J48=""),(J70="")),"",J48+J70)</f>
      </c>
      <c r="K71" s="844"/>
      <c r="L71" s="851">
        <f>IF(OR((L48=""),(L70="")),"",L48+L70)</f>
      </c>
      <c r="M71" s="844"/>
      <c r="N71" s="851">
        <f>IF(OR((N48=""),(N70="")),"",N48+N70)</f>
      </c>
      <c r="O71" s="844"/>
      <c r="P71" s="851">
        <f>IF(OR((P48=""),(P70="")),"",P48+P70)</f>
      </c>
      <c r="Q71" s="844"/>
      <c r="R71" s="678"/>
      <c r="S71" s="678"/>
      <c r="T71" s="678"/>
      <c r="U71" s="678"/>
      <c r="V71" s="678"/>
      <c r="W71" s="678"/>
      <c r="X71" s="678"/>
      <c r="Y71" s="678"/>
      <c r="Z71" s="678"/>
      <c r="AA71" s="678"/>
      <c r="AB71" s="678"/>
      <c r="AC71" s="678"/>
      <c r="AD71" s="678"/>
      <c r="AE71" s="678"/>
      <c r="AF71" s="678"/>
      <c r="AG71" s="678"/>
    </row>
    <row r="72" spans="1:17" ht="12.75">
      <c r="A72" s="769"/>
      <c r="B72" s="769"/>
      <c r="C72" s="769"/>
      <c r="D72" s="769"/>
      <c r="E72" s="769"/>
      <c r="F72" s="769"/>
      <c r="G72" s="769"/>
      <c r="H72" s="769"/>
      <c r="I72" s="769"/>
      <c r="J72" s="769"/>
      <c r="K72" s="769"/>
      <c r="L72" s="769"/>
      <c r="M72" s="769"/>
      <c r="N72" s="769"/>
      <c r="O72" s="769"/>
      <c r="P72" s="769"/>
      <c r="Q72" s="769"/>
    </row>
    <row r="73" spans="1:17" ht="12.75">
      <c r="A73" s="852"/>
      <c r="B73" s="852"/>
      <c r="C73" s="852"/>
      <c r="D73" s="852"/>
      <c r="E73" s="852"/>
      <c r="F73" s="852"/>
      <c r="G73" s="852"/>
      <c r="H73" s="852"/>
      <c r="I73" s="852"/>
      <c r="J73" s="852"/>
      <c r="K73" s="852"/>
      <c r="L73" s="852"/>
      <c r="M73" s="852"/>
      <c r="N73" s="852"/>
      <c r="O73" s="852"/>
      <c r="P73" s="852"/>
      <c r="Q73" s="852"/>
    </row>
    <row r="74" spans="1:17" ht="12.75">
      <c r="A74" s="852"/>
      <c r="B74" s="852"/>
      <c r="C74" s="852"/>
      <c r="D74" s="852"/>
      <c r="E74" s="852"/>
      <c r="F74" s="852"/>
      <c r="G74" s="852"/>
      <c r="H74" s="852"/>
      <c r="I74" s="852"/>
      <c r="J74" s="852"/>
      <c r="K74" s="852"/>
      <c r="L74" s="852"/>
      <c r="M74" s="852"/>
      <c r="N74" s="852"/>
      <c r="O74" s="852"/>
      <c r="P74" s="852"/>
      <c r="Q74" s="852"/>
    </row>
    <row r="75" spans="1:17" ht="12.75">
      <c r="A75" s="852"/>
      <c r="B75" s="852"/>
      <c r="C75" s="852"/>
      <c r="D75" s="852"/>
      <c r="E75" s="852"/>
      <c r="F75" s="852"/>
      <c r="G75" s="852"/>
      <c r="H75" s="852"/>
      <c r="I75" s="852"/>
      <c r="J75" s="852"/>
      <c r="K75" s="852"/>
      <c r="L75" s="852"/>
      <c r="M75" s="852"/>
      <c r="N75" s="852"/>
      <c r="O75" s="852"/>
      <c r="P75" s="852"/>
      <c r="Q75" s="852"/>
    </row>
    <row r="76" spans="1:17" ht="12.75">
      <c r="A76" s="852"/>
      <c r="B76" s="852"/>
      <c r="C76" s="852"/>
      <c r="D76" s="852"/>
      <c r="E76" s="852"/>
      <c r="F76" s="852"/>
      <c r="G76" s="852"/>
      <c r="H76" s="852"/>
      <c r="I76" s="852"/>
      <c r="J76" s="852"/>
      <c r="K76" s="852"/>
      <c r="L76" s="852"/>
      <c r="M76" s="852"/>
      <c r="N76" s="852"/>
      <c r="O76" s="852"/>
      <c r="P76" s="852"/>
      <c r="Q76" s="852"/>
    </row>
    <row r="77" spans="1:17" ht="12.75">
      <c r="A77" s="852"/>
      <c r="B77" s="852"/>
      <c r="C77" s="852"/>
      <c r="D77" s="852"/>
      <c r="E77" s="852"/>
      <c r="F77" s="852"/>
      <c r="G77" s="852"/>
      <c r="H77" s="852"/>
      <c r="I77" s="852"/>
      <c r="J77" s="852"/>
      <c r="K77" s="852"/>
      <c r="L77" s="852"/>
      <c r="M77" s="852"/>
      <c r="N77" s="852"/>
      <c r="O77" s="852"/>
      <c r="P77" s="852"/>
      <c r="Q77" s="852"/>
    </row>
    <row r="78" spans="1:17" ht="12.75">
      <c r="A78" s="852"/>
      <c r="B78" s="852"/>
      <c r="C78" s="852"/>
      <c r="D78" s="852"/>
      <c r="E78" s="852"/>
      <c r="F78" s="852"/>
      <c r="G78" s="852"/>
      <c r="H78" s="852"/>
      <c r="I78" s="852"/>
      <c r="J78" s="852"/>
      <c r="K78" s="852"/>
      <c r="L78" s="852"/>
      <c r="M78" s="852"/>
      <c r="N78" s="852"/>
      <c r="O78" s="852"/>
      <c r="P78" s="852"/>
      <c r="Q78" s="852"/>
    </row>
    <row r="79" spans="1:17" ht="12.75">
      <c r="A79" s="852"/>
      <c r="B79" s="852"/>
      <c r="C79" s="852"/>
      <c r="D79" s="852"/>
      <c r="E79" s="852"/>
      <c r="F79" s="1045"/>
      <c r="G79" s="852"/>
      <c r="H79" s="852"/>
      <c r="I79" s="852"/>
      <c r="J79" s="852"/>
      <c r="K79" s="852"/>
      <c r="L79" s="852"/>
      <c r="M79" s="852"/>
      <c r="N79" s="852"/>
      <c r="O79" s="852"/>
      <c r="P79" s="852"/>
      <c r="Q79" s="852"/>
    </row>
    <row r="80" spans="1:17" ht="12.75">
      <c r="A80" s="852"/>
      <c r="B80" s="852"/>
      <c r="C80" s="852"/>
      <c r="D80" s="852"/>
      <c r="E80" s="852"/>
      <c r="F80" s="852"/>
      <c r="G80" s="852"/>
      <c r="H80" s="852"/>
      <c r="I80" s="852"/>
      <c r="J80" s="852"/>
      <c r="K80" s="852"/>
      <c r="L80" s="852"/>
      <c r="M80" s="852"/>
      <c r="N80" s="852"/>
      <c r="O80" s="852"/>
      <c r="P80" s="852"/>
      <c r="Q80" s="852"/>
    </row>
    <row r="81" spans="1:17" ht="12.75">
      <c r="A81" s="852"/>
      <c r="B81" s="852"/>
      <c r="C81" s="852"/>
      <c r="D81" s="852"/>
      <c r="E81" s="852"/>
      <c r="F81" s="852"/>
      <c r="G81" s="852"/>
      <c r="H81" s="852"/>
      <c r="I81" s="852"/>
      <c r="J81" s="852"/>
      <c r="K81" s="852"/>
      <c r="L81" s="852"/>
      <c r="M81" s="852"/>
      <c r="N81" s="852"/>
      <c r="O81" s="852"/>
      <c r="P81" s="852"/>
      <c r="Q81" s="852"/>
    </row>
    <row r="82" spans="1:17" ht="12.75">
      <c r="A82" s="852"/>
      <c r="B82" s="852"/>
      <c r="C82" s="852"/>
      <c r="D82" s="852"/>
      <c r="E82" s="852"/>
      <c r="F82" s="852"/>
      <c r="G82" s="852"/>
      <c r="H82" s="852"/>
      <c r="I82" s="852"/>
      <c r="J82" s="852"/>
      <c r="K82" s="852"/>
      <c r="L82" s="852"/>
      <c r="M82" s="852"/>
      <c r="N82" s="852"/>
      <c r="O82" s="852"/>
      <c r="P82" s="852"/>
      <c r="Q82" s="852"/>
    </row>
    <row r="83" spans="1:17" ht="12.75">
      <c r="A83" s="852"/>
      <c r="B83" s="852"/>
      <c r="C83" s="852"/>
      <c r="D83" s="852"/>
      <c r="E83" s="852"/>
      <c r="F83" s="852"/>
      <c r="G83" s="852"/>
      <c r="H83" s="852"/>
      <c r="I83" s="852"/>
      <c r="J83" s="852"/>
      <c r="K83" s="852"/>
      <c r="L83" s="852"/>
      <c r="M83" s="852"/>
      <c r="N83" s="852"/>
      <c r="O83" s="852"/>
      <c r="P83" s="852"/>
      <c r="Q83" s="852"/>
    </row>
    <row r="84" spans="1:17" ht="12.75">
      <c r="A84" s="770"/>
      <c r="B84" s="852"/>
      <c r="C84" s="852"/>
      <c r="D84" s="770"/>
      <c r="E84" s="770"/>
      <c r="F84" s="770"/>
      <c r="G84" s="770"/>
      <c r="H84" s="770"/>
      <c r="I84" s="770"/>
      <c r="J84" s="770"/>
      <c r="K84" s="770"/>
      <c r="L84" s="770"/>
      <c r="M84" s="770"/>
      <c r="N84" s="770"/>
      <c r="O84" s="770"/>
      <c r="P84" s="770"/>
      <c r="Q84" s="770"/>
    </row>
    <row r="85" spans="1:17" ht="12.75">
      <c r="A85" s="770"/>
      <c r="B85" s="852"/>
      <c r="C85" s="852"/>
      <c r="D85" s="770"/>
      <c r="E85" s="770"/>
      <c r="F85" s="770"/>
      <c r="G85" s="770"/>
      <c r="H85" s="770"/>
      <c r="I85" s="770"/>
      <c r="J85" s="770"/>
      <c r="K85" s="770"/>
      <c r="L85" s="770"/>
      <c r="M85" s="770"/>
      <c r="N85" s="770"/>
      <c r="O85" s="770"/>
      <c r="P85" s="770"/>
      <c r="Q85" s="770"/>
    </row>
  </sheetData>
  <printOptions horizontalCentered="1" verticalCentered="1"/>
  <pageMargins left="0.75" right="0.4" top="0.36" bottom="0.51" header="0.17" footer="0.3"/>
  <pageSetup fitToHeight="1" fitToWidth="1" horizontalDpi="600" verticalDpi="600" orientation="landscape" scale="65" r:id="rId4"/>
  <headerFooter alignWithMargins="0">
    <oddFooter>&amp;L&amp;"Arial,Bold"&amp;12&amp;F&amp;C&amp;"Arial,Bold"&amp;12&amp;A&amp;R&amp;"Arial,Bold"&amp;12&amp;D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611111113">
    <pageSetUpPr fitToPage="1"/>
  </sheetPr>
  <dimension ref="A1:CC129"/>
  <sheetViews>
    <sheetView showGridLines="0" workbookViewId="0" topLeftCell="A1">
      <selection activeCell="M3" sqref="M3"/>
    </sheetView>
  </sheetViews>
  <sheetFormatPr defaultColWidth="9.140625" defaultRowHeight="12.75"/>
  <cols>
    <col min="1" max="3" width="11.7109375" style="73" customWidth="1"/>
    <col min="4" max="4" width="3.00390625" style="73" customWidth="1"/>
    <col min="5" max="5" width="2.28125" style="73" customWidth="1"/>
    <col min="6" max="8" width="12.7109375" style="73" customWidth="1"/>
    <col min="9" max="9" width="2.28125" style="73" customWidth="1"/>
    <col min="10" max="10" width="4.8515625" style="73" customWidth="1"/>
    <col min="11" max="11" width="11.7109375" style="73" customWidth="1"/>
    <col min="12" max="14" width="11.7109375" style="876" customWidth="1"/>
    <col min="15" max="16" width="11.7109375" style="862" customWidth="1"/>
    <col min="17" max="17" width="2.421875" style="862" customWidth="1"/>
    <col min="18" max="32" width="6.7109375" style="0" customWidth="1"/>
    <col min="33" max="47" width="6.7109375" style="73" customWidth="1"/>
    <col min="48" max="48" width="1.7109375" style="0" customWidth="1"/>
    <col min="49" max="49" width="8.7109375" style="5" customWidth="1"/>
    <col min="50" max="50" width="8.7109375" style="55" customWidth="1"/>
    <col min="51" max="51" width="20.7109375" style="55" customWidth="1"/>
    <col min="52" max="52" width="8.7109375" style="55" customWidth="1"/>
    <col min="53" max="76" width="4.7109375" style="5" customWidth="1"/>
    <col min="77" max="78" width="8.7109375" style="0" customWidth="1"/>
    <col min="80" max="81" width="4.00390625" style="73" customWidth="1"/>
    <col min="82" max="16384" width="5.57421875" style="73" customWidth="1"/>
  </cols>
  <sheetData>
    <row r="1" spans="1:7" ht="15.75">
      <c r="A1" s="920" t="s">
        <v>517</v>
      </c>
      <c r="G1" s="920" t="s">
        <v>518</v>
      </c>
    </row>
    <row r="2" ht="15.75">
      <c r="A2" s="920" t="s">
        <v>477</v>
      </c>
    </row>
    <row r="3" spans="1:6" ht="16.5" thickBot="1">
      <c r="A3" s="920" t="s">
        <v>509</v>
      </c>
      <c r="F3" s="875" t="s">
        <v>530</v>
      </c>
    </row>
    <row r="4" spans="1:45" ht="15.75">
      <c r="A4" s="920" t="s">
        <v>485</v>
      </c>
      <c r="F4" s="951" t="s">
        <v>469</v>
      </c>
      <c r="G4" s="952"/>
      <c r="H4" s="1064">
        <v>1</v>
      </c>
      <c r="R4" s="920" t="s">
        <v>487</v>
      </c>
      <c r="V4" s="863"/>
      <c r="W4" s="73"/>
      <c r="X4" s="73"/>
      <c r="Y4" s="1185" t="s">
        <v>229</v>
      </c>
      <c r="Z4" s="1185"/>
      <c r="AA4" s="1184">
        <f>IF($B$9="","",$B$9)</f>
      </c>
      <c r="AB4" s="1184"/>
      <c r="AC4" s="1184"/>
      <c r="AD4" s="1184"/>
      <c r="AE4" s="1184"/>
      <c r="AF4" s="1184"/>
      <c r="AG4" s="1185" t="s">
        <v>216</v>
      </c>
      <c r="AH4" s="1185"/>
      <c r="AI4" s="1184">
        <f>IF($B$12="","",$B$12)</f>
      </c>
      <c r="AJ4" s="1184"/>
      <c r="AK4" s="1184"/>
      <c r="AL4" s="1184"/>
      <c r="AM4" s="1184"/>
      <c r="AN4" s="1184"/>
      <c r="AR4"/>
      <c r="AS4" s="863"/>
    </row>
    <row r="5" spans="1:44" ht="15.75">
      <c r="A5" s="920" t="s">
        <v>486</v>
      </c>
      <c r="F5" s="1049" t="s">
        <v>510</v>
      </c>
      <c r="G5" s="1048"/>
      <c r="H5" s="1050">
        <v>100</v>
      </c>
      <c r="L5" s="73"/>
      <c r="M5"/>
      <c r="R5" s="864"/>
      <c r="S5" s="864"/>
      <c r="T5" s="864"/>
      <c r="U5" s="865"/>
      <c r="V5" s="863"/>
      <c r="W5" s="73"/>
      <c r="X5" s="73"/>
      <c r="Y5" s="1185" t="s">
        <v>230</v>
      </c>
      <c r="Z5" s="1185"/>
      <c r="AA5" s="1184">
        <f>IF($B$10="","",$B$10)</f>
      </c>
      <c r="AB5" s="1184"/>
      <c r="AC5" s="1184"/>
      <c r="AD5" s="1184"/>
      <c r="AE5" s="1184"/>
      <c r="AF5" s="1184"/>
      <c r="AG5" s="1185" t="s">
        <v>408</v>
      </c>
      <c r="AH5" s="1185"/>
      <c r="AI5" s="1184">
        <f>IF($B$13="","",$B$13)</f>
      </c>
      <c r="AJ5" s="1184"/>
      <c r="AK5" s="1184"/>
      <c r="AL5" s="1184"/>
      <c r="AM5" s="1184"/>
      <c r="AN5" s="1184"/>
      <c r="AR5"/>
    </row>
    <row r="6" spans="1:50" ht="16.5" thickBot="1">
      <c r="A6" s="920" t="s">
        <v>519</v>
      </c>
      <c r="F6" s="950" t="s">
        <v>525</v>
      </c>
      <c r="G6" s="1051">
        <v>1</v>
      </c>
      <c r="H6" s="1052"/>
      <c r="K6"/>
      <c r="L6"/>
      <c r="M6"/>
      <c r="N6"/>
      <c r="O6"/>
      <c r="P6"/>
      <c r="R6" s="867" t="s">
        <v>475</v>
      </c>
      <c r="S6" s="864"/>
      <c r="T6" s="864"/>
      <c r="U6" s="865"/>
      <c r="V6" s="863"/>
      <c r="W6" s="73"/>
      <c r="X6" s="73"/>
      <c r="Y6" s="1185" t="s">
        <v>231</v>
      </c>
      <c r="Z6" s="1185"/>
      <c r="AA6" s="1184">
        <f>IF($B$11="","",$B$11)</f>
      </c>
      <c r="AB6" s="1184"/>
      <c r="AC6" s="1184"/>
      <c r="AD6" s="1184"/>
      <c r="AE6" s="1184"/>
      <c r="AF6" s="1184"/>
      <c r="AG6" s="1185" t="s">
        <v>478</v>
      </c>
      <c r="AH6" s="1185"/>
      <c r="AI6" s="1186">
        <f>$H$4</f>
        <v>1</v>
      </c>
      <c r="AJ6" s="1186"/>
      <c r="AK6" s="1186"/>
      <c r="AL6" s="1186"/>
      <c r="AM6" s="1186"/>
      <c r="AN6" s="1186"/>
      <c r="AR6" s="863"/>
      <c r="AS6" s="863"/>
      <c r="AX6" s="1169" t="s">
        <v>520</v>
      </c>
    </row>
    <row r="7" spans="3:45" ht="12.75">
      <c r="C7" s="1053"/>
      <c r="H7" s="256"/>
      <c r="K7"/>
      <c r="L7"/>
      <c r="M7"/>
      <c r="N7" s="909"/>
      <c r="O7" s="909"/>
      <c r="P7" s="256"/>
      <c r="Q7" s="866"/>
      <c r="R7" s="864"/>
      <c r="S7" s="864"/>
      <c r="T7" s="1235" t="s">
        <v>521</v>
      </c>
      <c r="U7" s="868" t="s">
        <v>410</v>
      </c>
      <c r="V7" s="869" t="s">
        <v>411</v>
      </c>
      <c r="W7" s="870" t="s">
        <v>412</v>
      </c>
      <c r="X7" s="870" t="s">
        <v>413</v>
      </c>
      <c r="Y7" s="870" t="s">
        <v>414</v>
      </c>
      <c r="Z7" s="870" t="s">
        <v>415</v>
      </c>
      <c r="AA7" s="870" t="s">
        <v>416</v>
      </c>
      <c r="AB7" s="870" t="s">
        <v>417</v>
      </c>
      <c r="AC7" s="870" t="s">
        <v>418</v>
      </c>
      <c r="AD7" s="870" t="s">
        <v>419</v>
      </c>
      <c r="AE7" s="870" t="s">
        <v>420</v>
      </c>
      <c r="AF7" s="871" t="s">
        <v>421</v>
      </c>
      <c r="AG7" s="871" t="s">
        <v>422</v>
      </c>
      <c r="AH7" s="871" t="s">
        <v>423</v>
      </c>
      <c r="AI7" s="870" t="s">
        <v>412</v>
      </c>
      <c r="AJ7" s="870" t="s">
        <v>413</v>
      </c>
      <c r="AK7" s="870" t="s">
        <v>414</v>
      </c>
      <c r="AL7" s="870" t="s">
        <v>415</v>
      </c>
      <c r="AM7" s="870" t="s">
        <v>416</v>
      </c>
      <c r="AN7" s="870" t="s">
        <v>417</v>
      </c>
      <c r="AO7" s="870" t="s">
        <v>418</v>
      </c>
      <c r="AP7" s="870" t="s">
        <v>419</v>
      </c>
      <c r="AQ7" s="870" t="s">
        <v>420</v>
      </c>
      <c r="AR7" s="871" t="s">
        <v>421</v>
      </c>
      <c r="AS7" s="871" t="s">
        <v>422</v>
      </c>
    </row>
    <row r="8" spans="1:46" ht="13.5" thickBot="1">
      <c r="A8" s="875" t="s">
        <v>155</v>
      </c>
      <c r="B8"/>
      <c r="C8" s="256"/>
      <c r="D8" s="939"/>
      <c r="F8" s="875" t="s">
        <v>508</v>
      </c>
      <c r="H8" s="256"/>
      <c r="K8" s="875"/>
      <c r="N8" s="909"/>
      <c r="O8" s="909"/>
      <c r="P8" s="909"/>
      <c r="Q8" s="866"/>
      <c r="R8" s="864"/>
      <c r="T8" s="1236"/>
      <c r="U8" s="868">
        <f>$N$14</f>
        <v>15</v>
      </c>
      <c r="V8" s="864">
        <f>$N16</f>
        <v>0</v>
      </c>
      <c r="W8" s="864">
        <f>$N17</f>
        <v>0</v>
      </c>
      <c r="X8" s="864">
        <f>$N18</f>
        <v>0</v>
      </c>
      <c r="Y8" s="864">
        <f>$N19</f>
        <v>0</v>
      </c>
      <c r="Z8" s="864">
        <f>$N20</f>
        <v>0</v>
      </c>
      <c r="AA8" s="864">
        <f>$N21</f>
        <v>0</v>
      </c>
      <c r="AB8" s="864">
        <f>$N22</f>
        <v>0</v>
      </c>
      <c r="AC8" s="864">
        <f>$N23</f>
        <v>0</v>
      </c>
      <c r="AD8" s="864">
        <f>$N24</f>
        <v>0</v>
      </c>
      <c r="AE8" s="864">
        <f>$N25</f>
        <v>0</v>
      </c>
      <c r="AF8" s="864">
        <f>$N26</f>
        <v>0</v>
      </c>
      <c r="AG8" s="864">
        <f>$N27</f>
        <v>0</v>
      </c>
      <c r="AH8" s="864">
        <f>$N28</f>
        <v>0</v>
      </c>
      <c r="AI8" s="864">
        <f>$N29</f>
        <v>0</v>
      </c>
      <c r="AJ8" s="864">
        <f>$N30</f>
        <v>0</v>
      </c>
      <c r="AK8" s="864">
        <f>$N31</f>
        <v>0</v>
      </c>
      <c r="AL8" s="864">
        <f>$N32</f>
        <v>0</v>
      </c>
      <c r="AM8" s="864">
        <f>$N33</f>
        <v>0</v>
      </c>
      <c r="AN8" s="864">
        <f>$N34</f>
        <v>0</v>
      </c>
      <c r="AO8" s="864">
        <f>$N35</f>
        <v>0</v>
      </c>
      <c r="AP8" s="864">
        <f>$N36</f>
        <v>0</v>
      </c>
      <c r="AQ8" s="864">
        <f>$N37</f>
        <v>0</v>
      </c>
      <c r="AR8" s="864">
        <f>$N38</f>
        <v>0</v>
      </c>
      <c r="AS8" s="864">
        <f>$N39</f>
        <v>0</v>
      </c>
      <c r="AT8" s="868">
        <f>$N$14</f>
        <v>15</v>
      </c>
    </row>
    <row r="9" spans="1:56" ht="13.5" thickBot="1">
      <c r="A9" s="1065" t="s">
        <v>229</v>
      </c>
      <c r="B9" s="1112"/>
      <c r="C9" s="1063"/>
      <c r="F9" s="1065" t="s">
        <v>229</v>
      </c>
      <c r="G9" s="1199">
        <f>IF($B$9="","",$B$9)</f>
      </c>
      <c r="H9" s="1200"/>
      <c r="K9" s="875" t="s">
        <v>479</v>
      </c>
      <c r="L9" s="916"/>
      <c r="M9" s="875"/>
      <c r="N9" s="941"/>
      <c r="O9" s="941"/>
      <c r="P9" s="941"/>
      <c r="Q9" s="866"/>
      <c r="R9" s="864"/>
      <c r="T9" s="1236"/>
      <c r="U9" s="868">
        <f>O14</f>
        <v>30</v>
      </c>
      <c r="V9" s="864">
        <f>$O16</f>
        <v>0</v>
      </c>
      <c r="W9" s="864">
        <f>$O17</f>
        <v>0</v>
      </c>
      <c r="X9" s="864">
        <f>$O18</f>
        <v>0</v>
      </c>
      <c r="Y9" s="864">
        <f>$O19</f>
        <v>0</v>
      </c>
      <c r="Z9" s="864">
        <f>$O20</f>
        <v>0</v>
      </c>
      <c r="AA9" s="864">
        <f>$O21</f>
        <v>0</v>
      </c>
      <c r="AB9" s="864">
        <f>$O22</f>
        <v>0</v>
      </c>
      <c r="AC9" s="864">
        <f>$O23</f>
        <v>0</v>
      </c>
      <c r="AD9" s="864">
        <f>$O24</f>
        <v>0</v>
      </c>
      <c r="AE9" s="864">
        <f>$O25</f>
        <v>0</v>
      </c>
      <c r="AF9" s="864">
        <f>$O26</f>
        <v>0</v>
      </c>
      <c r="AG9" s="864">
        <f>$O27</f>
        <v>0</v>
      </c>
      <c r="AH9" s="864">
        <f>$O28</f>
        <v>0</v>
      </c>
      <c r="AI9" s="864">
        <f>$O29</f>
        <v>0</v>
      </c>
      <c r="AJ9" s="864">
        <f>$O30</f>
        <v>0</v>
      </c>
      <c r="AK9" s="864">
        <f>$O31</f>
        <v>0</v>
      </c>
      <c r="AL9" s="864">
        <f>$O32</f>
        <v>0</v>
      </c>
      <c r="AM9" s="864">
        <f>$O33</f>
        <v>0</v>
      </c>
      <c r="AN9" s="864">
        <f>$O34</f>
        <v>0</v>
      </c>
      <c r="AO9" s="864">
        <f>$O35</f>
        <v>0</v>
      </c>
      <c r="AP9" s="864">
        <f>$O36</f>
        <v>0</v>
      </c>
      <c r="AQ9" s="864">
        <f>$O37</f>
        <v>0</v>
      </c>
      <c r="AR9" s="864">
        <f>$O38</f>
        <v>0</v>
      </c>
      <c r="AS9" s="864">
        <f>$O39</f>
        <v>0</v>
      </c>
      <c r="AT9" s="868">
        <f>IF($U$8&gt;29,"",AT8*2)</f>
        <v>30</v>
      </c>
      <c r="BA9"/>
      <c r="BB9"/>
      <c r="BC9"/>
      <c r="BD9"/>
    </row>
    <row r="10" spans="1:56" ht="12.75">
      <c r="A10" s="853" t="s">
        <v>230</v>
      </c>
      <c r="B10" s="1068"/>
      <c r="C10" s="1061"/>
      <c r="F10" s="853" t="s">
        <v>230</v>
      </c>
      <c r="G10" s="1184">
        <f>IF($B$10="","",$B$10)</f>
      </c>
      <c r="H10" s="1198"/>
      <c r="K10" s="1065" t="s">
        <v>229</v>
      </c>
      <c r="L10" s="1190">
        <f>IF($B$9="","",$B$9)</f>
      </c>
      <c r="M10" s="1191"/>
      <c r="N10" s="924" t="s">
        <v>216</v>
      </c>
      <c r="O10" s="1190">
        <f>IF($B$12="","",$B$12)</f>
      </c>
      <c r="P10" s="1191"/>
      <c r="Q10" s="866"/>
      <c r="R10" s="864"/>
      <c r="T10" s="1236"/>
      <c r="U10" s="868">
        <f>P14</f>
        <v>45</v>
      </c>
      <c r="V10" s="864">
        <f>$P16</f>
        <v>0</v>
      </c>
      <c r="W10" s="864">
        <f>$P17</f>
        <v>0</v>
      </c>
      <c r="X10" s="864">
        <f>$P18</f>
        <v>0</v>
      </c>
      <c r="Y10" s="864">
        <f>$P19</f>
        <v>0</v>
      </c>
      <c r="Z10" s="864">
        <f>$P20</f>
        <v>0</v>
      </c>
      <c r="AA10" s="864">
        <f>$P21</f>
        <v>0</v>
      </c>
      <c r="AB10" s="864">
        <f>$P22</f>
        <v>0</v>
      </c>
      <c r="AC10" s="864">
        <f>$P23</f>
        <v>0</v>
      </c>
      <c r="AD10" s="864">
        <f>$P24</f>
        <v>0</v>
      </c>
      <c r="AE10" s="864">
        <f>$P25</f>
        <v>0</v>
      </c>
      <c r="AF10" s="864">
        <f>$P26</f>
        <v>0</v>
      </c>
      <c r="AG10" s="864">
        <f>$P27</f>
        <v>0</v>
      </c>
      <c r="AH10" s="864">
        <f>$P28</f>
        <v>0</v>
      </c>
      <c r="AI10" s="864">
        <f>$P29</f>
        <v>0</v>
      </c>
      <c r="AJ10" s="864">
        <f>$P30</f>
        <v>0</v>
      </c>
      <c r="AK10" s="864">
        <f>$P31</f>
        <v>0</v>
      </c>
      <c r="AL10" s="864">
        <f>$P32</f>
        <v>0</v>
      </c>
      <c r="AM10" s="864">
        <f>$P33</f>
        <v>0</v>
      </c>
      <c r="AN10" s="864">
        <f>$P34</f>
        <v>0</v>
      </c>
      <c r="AO10" s="864">
        <f>$P35</f>
        <v>0</v>
      </c>
      <c r="AP10" s="864">
        <f>$P36</f>
        <v>0</v>
      </c>
      <c r="AQ10" s="864">
        <f>$P37</f>
        <v>0</v>
      </c>
      <c r="AR10" s="864">
        <f>$P38</f>
        <v>0</v>
      </c>
      <c r="AS10" s="864">
        <f>$P39</f>
        <v>0</v>
      </c>
      <c r="AT10" s="868">
        <f>IF($U$8&gt;19,"",AT8*3)</f>
        <v>45</v>
      </c>
      <c r="BA10"/>
      <c r="BB10"/>
      <c r="BC10"/>
      <c r="BD10"/>
    </row>
    <row r="11" spans="1:56" ht="12.75">
      <c r="A11" s="853" t="s">
        <v>231</v>
      </c>
      <c r="B11" s="1068"/>
      <c r="C11" s="1061"/>
      <c r="F11" s="853" t="s">
        <v>231</v>
      </c>
      <c r="G11" s="1184">
        <f>IF($B$11="","",$B$11)</f>
      </c>
      <c r="H11" s="1198"/>
      <c r="K11" s="853" t="s">
        <v>230</v>
      </c>
      <c r="L11" s="1192">
        <f>IF($B$10="","",$B$10)</f>
      </c>
      <c r="M11" s="1193"/>
      <c r="N11" s="940" t="s">
        <v>408</v>
      </c>
      <c r="O11" s="1192">
        <f>IF($B$13="","",$B$13)</f>
      </c>
      <c r="P11" s="1193"/>
      <c r="Q11" s="866"/>
      <c r="R11" s="864"/>
      <c r="T11" s="1237"/>
      <c r="U11" s="868">
        <f>$L$14</f>
        <v>60</v>
      </c>
      <c r="V11" s="872">
        <f>$L$16</f>
        <v>0</v>
      </c>
      <c r="W11" s="874">
        <f>$L$17</f>
        <v>0</v>
      </c>
      <c r="X11" s="874">
        <f>$L$18</f>
        <v>0</v>
      </c>
      <c r="Y11" s="874">
        <f>$L$19</f>
        <v>0</v>
      </c>
      <c r="Z11" s="874">
        <f>$L$20</f>
        <v>0</v>
      </c>
      <c r="AA11" s="874">
        <f>$L$21</f>
        <v>0</v>
      </c>
      <c r="AB11" s="874">
        <f>$L$22</f>
        <v>0</v>
      </c>
      <c r="AC11" s="874">
        <f>$L$23</f>
        <v>0</v>
      </c>
      <c r="AD11" s="874">
        <f>$L$24</f>
        <v>0</v>
      </c>
      <c r="AE11" s="874">
        <f>$L$25</f>
        <v>0</v>
      </c>
      <c r="AF11" s="874">
        <f>$L$26</f>
        <v>0</v>
      </c>
      <c r="AG11" s="874">
        <f>$L$27</f>
        <v>0</v>
      </c>
      <c r="AH11" s="874">
        <f>$L$28</f>
        <v>0</v>
      </c>
      <c r="AI11" s="874">
        <f>$L$29</f>
        <v>0</v>
      </c>
      <c r="AJ11" s="874">
        <f>$L$30</f>
        <v>0</v>
      </c>
      <c r="AK11" s="874">
        <f>$L$31</f>
        <v>0</v>
      </c>
      <c r="AL11" s="874">
        <f>$L$32</f>
        <v>0</v>
      </c>
      <c r="AM11" s="874">
        <f>$L$33</f>
        <v>0</v>
      </c>
      <c r="AN11" s="874">
        <f>$L$34</f>
        <v>0</v>
      </c>
      <c r="AO11" s="874">
        <f>$L$35</f>
        <v>0</v>
      </c>
      <c r="AP11" s="874">
        <f>$L$36</f>
        <v>0</v>
      </c>
      <c r="AQ11" s="874">
        <f>$L$37</f>
        <v>0</v>
      </c>
      <c r="AR11" s="874">
        <f>$L$38</f>
        <v>0</v>
      </c>
      <c r="AS11" s="873">
        <f>$L$39</f>
        <v>0</v>
      </c>
      <c r="AT11" s="868">
        <f>$L$14</f>
        <v>60</v>
      </c>
      <c r="BA11"/>
      <c r="BB11"/>
      <c r="BC11"/>
      <c r="BD11"/>
    </row>
    <row r="12" spans="1:18" ht="13.5" thickBot="1">
      <c r="A12" s="1067" t="s">
        <v>216</v>
      </c>
      <c r="B12" s="1068"/>
      <c r="C12" s="1061"/>
      <c r="D12" s="909"/>
      <c r="F12" s="853" t="s">
        <v>216</v>
      </c>
      <c r="G12" s="1184">
        <f>IF($B$12="","",$B$12)</f>
      </c>
      <c r="H12" s="1198"/>
      <c r="K12" s="1069" t="s">
        <v>231</v>
      </c>
      <c r="L12" s="1196">
        <f>IF($B$11="","",$B$11)</f>
      </c>
      <c r="M12" s="1197"/>
      <c r="N12" s="925" t="s">
        <v>478</v>
      </c>
      <c r="O12" s="1194">
        <f>$H$4</f>
        <v>1</v>
      </c>
      <c r="P12" s="1195"/>
      <c r="Q12" s="866"/>
      <c r="R12" s="73"/>
    </row>
    <row r="13" spans="1:46" ht="13.5" thickBot="1">
      <c r="A13" s="1070" t="s">
        <v>408</v>
      </c>
      <c r="B13" s="1071"/>
      <c r="C13" s="1060"/>
      <c r="D13" s="909"/>
      <c r="F13" s="1069" t="s">
        <v>408</v>
      </c>
      <c r="G13" s="1196">
        <f>IF($B$13="","",$B$13)</f>
      </c>
      <c r="H13" s="1197"/>
      <c r="K13" s="1201" t="s">
        <v>409</v>
      </c>
      <c r="L13" s="1187" t="s">
        <v>514</v>
      </c>
      <c r="M13" s="1188"/>
      <c r="N13" s="1188"/>
      <c r="O13" s="1188"/>
      <c r="P13" s="1189"/>
      <c r="Q13" s="866"/>
      <c r="R13" s="880" t="s">
        <v>476</v>
      </c>
      <c r="AT13" s="256"/>
    </row>
    <row r="14" spans="1:46" ht="12.75">
      <c r="A14" s="1210" t="s">
        <v>409</v>
      </c>
      <c r="B14" s="1118" t="s">
        <v>531</v>
      </c>
      <c r="C14" s="1119"/>
      <c r="D14" s="909"/>
      <c r="F14" s="1205" t="s">
        <v>409</v>
      </c>
      <c r="G14" s="1203" t="s">
        <v>514</v>
      </c>
      <c r="H14" s="1204"/>
      <c r="K14" s="1202"/>
      <c r="L14" s="1212">
        <v>60</v>
      </c>
      <c r="M14" s="1213"/>
      <c r="N14" s="1072">
        <f>IF($C$15="","",$C$15)</f>
        <v>15</v>
      </c>
      <c r="O14" s="913">
        <f>IF($N$14&gt;29,"",$N14*2)</f>
        <v>30</v>
      </c>
      <c r="P14" s="1073">
        <f>IF($N$14&gt;19,"",$N14*3)</f>
        <v>45</v>
      </c>
      <c r="Q14" s="866"/>
      <c r="R14" s="898" t="s">
        <v>511</v>
      </c>
      <c r="S14" s="899"/>
      <c r="T14" s="900"/>
      <c r="U14" s="1054" t="s">
        <v>515</v>
      </c>
      <c r="V14" s="901" t="s">
        <v>453</v>
      </c>
      <c r="W14" s="129"/>
      <c r="X14" s="129"/>
      <c r="Y14" s="129"/>
      <c r="Z14" s="129"/>
      <c r="AA14" s="129"/>
      <c r="AB14" s="129"/>
      <c r="AC14" s="129"/>
      <c r="AD14" s="129"/>
      <c r="AE14" s="129"/>
      <c r="AF14" s="129"/>
      <c r="AG14" s="902"/>
      <c r="AH14" s="902"/>
      <c r="AI14" s="902"/>
      <c r="AJ14" s="902"/>
      <c r="AK14" s="902"/>
      <c r="AL14" s="902"/>
      <c r="AM14" s="902"/>
      <c r="AN14" s="902"/>
      <c r="AO14" s="902"/>
      <c r="AP14" s="902"/>
      <c r="AQ14" s="902"/>
      <c r="AR14" s="902"/>
      <c r="AS14" s="903"/>
      <c r="AT14" s="1055" t="s">
        <v>515</v>
      </c>
    </row>
    <row r="15" spans="1:46" ht="12.75">
      <c r="A15" s="1211"/>
      <c r="B15" s="1062">
        <v>60</v>
      </c>
      <c r="C15" s="1066">
        <v>15</v>
      </c>
      <c r="D15" s="938"/>
      <c r="F15" s="1206"/>
      <c r="G15" s="1062">
        <f>B15</f>
        <v>60</v>
      </c>
      <c r="H15" s="911">
        <f>IF($C$15="","",$C$15)</f>
        <v>15</v>
      </c>
      <c r="K15" s="912" t="s">
        <v>383</v>
      </c>
      <c r="L15" s="913" t="s">
        <v>410</v>
      </c>
      <c r="M15" s="911" t="s">
        <v>452</v>
      </c>
      <c r="N15" s="912"/>
      <c r="O15" s="910"/>
      <c r="P15" s="911"/>
      <c r="Q15" s="866"/>
      <c r="R15" s="868" t="str">
        <f>IF($N$14="","","+ :"&amp;TEXT($N$14,0))</f>
        <v>+ :15</v>
      </c>
      <c r="S15" s="868" t="str">
        <f>IF($N$14&gt;29,"","+ :"&amp;TEXT($N$14*2,0))</f>
        <v>+ :30</v>
      </c>
      <c r="T15" s="868" t="str">
        <f>IF($N$14&gt;19,"","+ :"&amp;TEXT($N$14*3,0))</f>
        <v>+ :45</v>
      </c>
      <c r="U15" s="905" t="s">
        <v>516</v>
      </c>
      <c r="V15" s="882" t="s">
        <v>424</v>
      </c>
      <c r="W15" s="882" t="s">
        <v>425</v>
      </c>
      <c r="X15" s="882" t="s">
        <v>426</v>
      </c>
      <c r="Y15" s="882" t="s">
        <v>427</v>
      </c>
      <c r="Z15" s="882" t="s">
        <v>428</v>
      </c>
      <c r="AA15" s="882" t="s">
        <v>429</v>
      </c>
      <c r="AB15" s="882" t="s">
        <v>382</v>
      </c>
      <c r="AC15" s="882" t="s">
        <v>430</v>
      </c>
      <c r="AD15" s="882" t="s">
        <v>431</v>
      </c>
      <c r="AE15" s="882" t="s">
        <v>432</v>
      </c>
      <c r="AF15" s="883" t="s">
        <v>433</v>
      </c>
      <c r="AG15" s="883" t="s">
        <v>434</v>
      </c>
      <c r="AH15" s="883" t="s">
        <v>435</v>
      </c>
      <c r="AI15" s="883" t="s">
        <v>436</v>
      </c>
      <c r="AJ15" s="883" t="s">
        <v>437</v>
      </c>
      <c r="AK15" s="883" t="s">
        <v>438</v>
      </c>
      <c r="AL15" s="883" t="s">
        <v>439</v>
      </c>
      <c r="AM15" s="883" t="s">
        <v>440</v>
      </c>
      <c r="AN15" s="883" t="s">
        <v>441</v>
      </c>
      <c r="AO15" s="883" t="s">
        <v>442</v>
      </c>
      <c r="AP15" s="883" t="s">
        <v>443</v>
      </c>
      <c r="AQ15" s="883" t="s">
        <v>444</v>
      </c>
      <c r="AR15" s="883" t="s">
        <v>445</v>
      </c>
      <c r="AS15" s="884" t="s">
        <v>446</v>
      </c>
      <c r="AT15" s="1056" t="s">
        <v>516</v>
      </c>
    </row>
    <row r="16" spans="1:46" ht="12.75">
      <c r="A16" s="1074" t="s">
        <v>384</v>
      </c>
      <c r="B16" s="1075"/>
      <c r="C16" s="1076">
        <f aca="true" t="shared" si="0" ref="C16:C39">IF(OR(B16="",$C$15=""),"",B16*$C$15/$B$15)</f>
      </c>
      <c r="D16" s="938"/>
      <c r="E16" s="93"/>
      <c r="F16" s="1074" t="s">
        <v>384</v>
      </c>
      <c r="G16" s="1077">
        <f aca="true" t="shared" si="1" ref="G16:G39">IF(B16*$H$4&lt;$H$5,0,IF($G$6="",B16*$H$4,ROUND(B16*$H$4,-LOG($G$6))))</f>
        <v>0</v>
      </c>
      <c r="H16" s="1076">
        <f aca="true" t="shared" si="2" ref="H16:H39">IF($H$15="","",IF($H$6="",G16*$C$15/$B$15,ROUND(G16*$C$15/$B$15,-LOG($H$6))))</f>
        <v>0</v>
      </c>
      <c r="I16" s="93"/>
      <c r="K16" s="893" t="s">
        <v>384</v>
      </c>
      <c r="L16" s="942">
        <f aca="true" t="shared" si="3" ref="L16:L39">G16</f>
        <v>0</v>
      </c>
      <c r="M16" s="943">
        <f>L16</f>
        <v>0</v>
      </c>
      <c r="N16" s="944">
        <f aca="true" t="shared" si="4" ref="N16:N39">H16</f>
        <v>0</v>
      </c>
      <c r="O16" s="942">
        <f>IF(OR($N$14="",$N$14&gt;29),"",ROUND(N16*2,-$H$6))</f>
        <v>0</v>
      </c>
      <c r="P16" s="945">
        <f aca="true" t="shared" si="5" ref="P16:P39">IF($N$14&gt;19,"",ROUND(N16*3,-$H$6))</f>
        <v>0</v>
      </c>
      <c r="Q16" s="866"/>
      <c r="R16" s="864">
        <f>N39</f>
        <v>0</v>
      </c>
      <c r="S16" s="864">
        <f aca="true" t="shared" si="6" ref="S16:S39">IF($N$14&gt;29,"",R16*2)</f>
        <v>0</v>
      </c>
      <c r="T16" s="864">
        <f aca="true" t="shared" si="7" ref="T16:T39">IF($N$14&gt;19,"",R16*3)</f>
        <v>0</v>
      </c>
      <c r="U16" s="884" t="s">
        <v>446</v>
      </c>
      <c r="V16" s="885">
        <f>V$11</f>
        <v>0</v>
      </c>
      <c r="W16" s="885">
        <f aca="true" t="shared" si="8" ref="W16:AS16">V16+W$11</f>
        <v>0</v>
      </c>
      <c r="X16" s="885">
        <f t="shared" si="8"/>
        <v>0</v>
      </c>
      <c r="Y16" s="885">
        <f t="shared" si="8"/>
        <v>0</v>
      </c>
      <c r="Z16" s="885">
        <f t="shared" si="8"/>
        <v>0</v>
      </c>
      <c r="AA16" s="885">
        <f t="shared" si="8"/>
        <v>0</v>
      </c>
      <c r="AB16" s="885">
        <f t="shared" si="8"/>
        <v>0</v>
      </c>
      <c r="AC16" s="885">
        <f t="shared" si="8"/>
        <v>0</v>
      </c>
      <c r="AD16" s="885">
        <f t="shared" si="8"/>
        <v>0</v>
      </c>
      <c r="AE16" s="885">
        <f t="shared" si="8"/>
        <v>0</v>
      </c>
      <c r="AF16" s="885">
        <f t="shared" si="8"/>
        <v>0</v>
      </c>
      <c r="AG16" s="885">
        <f t="shared" si="8"/>
        <v>0</v>
      </c>
      <c r="AH16" s="885">
        <f t="shared" si="8"/>
        <v>0</v>
      </c>
      <c r="AI16" s="885">
        <f t="shared" si="8"/>
        <v>0</v>
      </c>
      <c r="AJ16" s="885">
        <f t="shared" si="8"/>
        <v>0</v>
      </c>
      <c r="AK16" s="885">
        <f t="shared" si="8"/>
        <v>0</v>
      </c>
      <c r="AL16" s="885">
        <f t="shared" si="8"/>
        <v>0</v>
      </c>
      <c r="AM16" s="885">
        <f t="shared" si="8"/>
        <v>0</v>
      </c>
      <c r="AN16" s="885">
        <f t="shared" si="8"/>
        <v>0</v>
      </c>
      <c r="AO16" s="885">
        <f t="shared" si="8"/>
        <v>0</v>
      </c>
      <c r="AP16" s="885">
        <f t="shared" si="8"/>
        <v>0</v>
      </c>
      <c r="AQ16" s="885">
        <f t="shared" si="8"/>
        <v>0</v>
      </c>
      <c r="AR16" s="885">
        <f t="shared" si="8"/>
        <v>0</v>
      </c>
      <c r="AS16" s="922">
        <f t="shared" si="8"/>
        <v>0</v>
      </c>
      <c r="AT16" s="884" t="s">
        <v>446</v>
      </c>
    </row>
    <row r="17" spans="1:46" ht="12.75">
      <c r="A17" s="1074" t="s">
        <v>385</v>
      </c>
      <c r="B17" s="1078"/>
      <c r="C17" s="1076">
        <f t="shared" si="0"/>
      </c>
      <c r="D17" s="938"/>
      <c r="E17" s="93"/>
      <c r="F17" s="1074" t="s">
        <v>385</v>
      </c>
      <c r="G17" s="1079">
        <f t="shared" si="1"/>
        <v>0</v>
      </c>
      <c r="H17" s="1076">
        <f t="shared" si="2"/>
        <v>0</v>
      </c>
      <c r="I17" s="93"/>
      <c r="K17" s="893" t="s">
        <v>385</v>
      </c>
      <c r="L17" s="942">
        <f t="shared" si="3"/>
        <v>0</v>
      </c>
      <c r="M17" s="943">
        <f aca="true" t="shared" si="9" ref="M17:M39">M16+L17</f>
        <v>0</v>
      </c>
      <c r="N17" s="944">
        <f t="shared" si="4"/>
        <v>0</v>
      </c>
      <c r="O17" s="942">
        <f aca="true" t="shared" si="10" ref="O17:O39">IF($N$14&gt;29,"",ROUND(N17*2,-$H$6))</f>
        <v>0</v>
      </c>
      <c r="P17" s="945">
        <f t="shared" si="5"/>
        <v>0</v>
      </c>
      <c r="Q17" s="866"/>
      <c r="R17" s="864">
        <f aca="true" t="shared" si="11" ref="R17:R39">N16</f>
        <v>0</v>
      </c>
      <c r="S17" s="864">
        <f t="shared" si="6"/>
        <v>0</v>
      </c>
      <c r="T17" s="864">
        <f t="shared" si="7"/>
        <v>0</v>
      </c>
      <c r="U17" s="868" t="s">
        <v>424</v>
      </c>
      <c r="V17" s="923">
        <f aca="true" t="shared" si="12" ref="V17:V39">AS17+V$11</f>
        <v>0</v>
      </c>
      <c r="W17" s="885">
        <f>W$11</f>
        <v>0</v>
      </c>
      <c r="X17" s="885">
        <f aca="true" t="shared" si="13" ref="X17:AS17">W17+X$11</f>
        <v>0</v>
      </c>
      <c r="Y17" s="885">
        <f t="shared" si="13"/>
        <v>0</v>
      </c>
      <c r="Z17" s="885">
        <f t="shared" si="13"/>
        <v>0</v>
      </c>
      <c r="AA17" s="885">
        <f t="shared" si="13"/>
        <v>0</v>
      </c>
      <c r="AB17" s="885">
        <f t="shared" si="13"/>
        <v>0</v>
      </c>
      <c r="AC17" s="885">
        <f t="shared" si="13"/>
        <v>0</v>
      </c>
      <c r="AD17" s="885">
        <f t="shared" si="13"/>
        <v>0</v>
      </c>
      <c r="AE17" s="885">
        <f t="shared" si="13"/>
        <v>0</v>
      </c>
      <c r="AF17" s="885">
        <f t="shared" si="13"/>
        <v>0</v>
      </c>
      <c r="AG17" s="885">
        <f t="shared" si="13"/>
        <v>0</v>
      </c>
      <c r="AH17" s="885">
        <f t="shared" si="13"/>
        <v>0</v>
      </c>
      <c r="AI17" s="885">
        <f t="shared" si="13"/>
        <v>0</v>
      </c>
      <c r="AJ17" s="885">
        <f t="shared" si="13"/>
        <v>0</v>
      </c>
      <c r="AK17" s="885">
        <f t="shared" si="13"/>
        <v>0</v>
      </c>
      <c r="AL17" s="885">
        <f t="shared" si="13"/>
        <v>0</v>
      </c>
      <c r="AM17" s="885">
        <f t="shared" si="13"/>
        <v>0</v>
      </c>
      <c r="AN17" s="885">
        <f t="shared" si="13"/>
        <v>0</v>
      </c>
      <c r="AO17" s="885">
        <f t="shared" si="13"/>
        <v>0</v>
      </c>
      <c r="AP17" s="885">
        <f t="shared" si="13"/>
        <v>0</v>
      </c>
      <c r="AQ17" s="885">
        <f t="shared" si="13"/>
        <v>0</v>
      </c>
      <c r="AR17" s="885">
        <f t="shared" si="13"/>
        <v>0</v>
      </c>
      <c r="AS17" s="885">
        <f t="shared" si="13"/>
        <v>0</v>
      </c>
      <c r="AT17" s="868" t="s">
        <v>424</v>
      </c>
    </row>
    <row r="18" spans="1:46" ht="12.75">
      <c r="A18" s="1074" t="s">
        <v>386</v>
      </c>
      <c r="B18" s="1078"/>
      <c r="C18" s="1076">
        <f t="shared" si="0"/>
      </c>
      <c r="D18" s="938"/>
      <c r="E18" s="93"/>
      <c r="F18" s="1074" t="s">
        <v>386</v>
      </c>
      <c r="G18" s="1079">
        <f t="shared" si="1"/>
        <v>0</v>
      </c>
      <c r="H18" s="1076">
        <f t="shared" si="2"/>
        <v>0</v>
      </c>
      <c r="I18" s="93"/>
      <c r="K18" s="893" t="s">
        <v>386</v>
      </c>
      <c r="L18" s="942">
        <f t="shared" si="3"/>
        <v>0</v>
      </c>
      <c r="M18" s="943">
        <f t="shared" si="9"/>
        <v>0</v>
      </c>
      <c r="N18" s="944">
        <f t="shared" si="4"/>
        <v>0</v>
      </c>
      <c r="O18" s="942">
        <f t="shared" si="10"/>
        <v>0</v>
      </c>
      <c r="P18" s="945">
        <f t="shared" si="5"/>
        <v>0</v>
      </c>
      <c r="Q18" s="879"/>
      <c r="R18" s="864">
        <f t="shared" si="11"/>
        <v>0</v>
      </c>
      <c r="S18" s="864">
        <f t="shared" si="6"/>
        <v>0</v>
      </c>
      <c r="T18" s="864">
        <f t="shared" si="7"/>
        <v>0</v>
      </c>
      <c r="U18" s="868" t="s">
        <v>425</v>
      </c>
      <c r="V18" s="864">
        <f t="shared" si="12"/>
        <v>0</v>
      </c>
      <c r="W18" s="922">
        <f aca="true" t="shared" si="14" ref="W18:W39">V18+W$11</f>
        <v>0</v>
      </c>
      <c r="X18" s="885">
        <f>X$11</f>
        <v>0</v>
      </c>
      <c r="Y18" s="885">
        <f aca="true" t="shared" si="15" ref="Y18:AS18">X18+Y$11</f>
        <v>0</v>
      </c>
      <c r="Z18" s="885">
        <f t="shared" si="15"/>
        <v>0</v>
      </c>
      <c r="AA18" s="885">
        <f t="shared" si="15"/>
        <v>0</v>
      </c>
      <c r="AB18" s="885">
        <f t="shared" si="15"/>
        <v>0</v>
      </c>
      <c r="AC18" s="885">
        <f t="shared" si="15"/>
        <v>0</v>
      </c>
      <c r="AD18" s="885">
        <f t="shared" si="15"/>
        <v>0</v>
      </c>
      <c r="AE18" s="885">
        <f t="shared" si="15"/>
        <v>0</v>
      </c>
      <c r="AF18" s="885">
        <f t="shared" si="15"/>
        <v>0</v>
      </c>
      <c r="AG18" s="885">
        <f t="shared" si="15"/>
        <v>0</v>
      </c>
      <c r="AH18" s="885">
        <f t="shared" si="15"/>
        <v>0</v>
      </c>
      <c r="AI18" s="885">
        <f t="shared" si="15"/>
        <v>0</v>
      </c>
      <c r="AJ18" s="885">
        <f t="shared" si="15"/>
        <v>0</v>
      </c>
      <c r="AK18" s="885">
        <f t="shared" si="15"/>
        <v>0</v>
      </c>
      <c r="AL18" s="885">
        <f t="shared" si="15"/>
        <v>0</v>
      </c>
      <c r="AM18" s="885">
        <f t="shared" si="15"/>
        <v>0</v>
      </c>
      <c r="AN18" s="885">
        <f t="shared" si="15"/>
        <v>0</v>
      </c>
      <c r="AO18" s="885">
        <f t="shared" si="15"/>
        <v>0</v>
      </c>
      <c r="AP18" s="885">
        <f t="shared" si="15"/>
        <v>0</v>
      </c>
      <c r="AQ18" s="885">
        <f t="shared" si="15"/>
        <v>0</v>
      </c>
      <c r="AR18" s="885">
        <f t="shared" si="15"/>
        <v>0</v>
      </c>
      <c r="AS18" s="885">
        <f t="shared" si="15"/>
        <v>0</v>
      </c>
      <c r="AT18" s="868" t="s">
        <v>425</v>
      </c>
    </row>
    <row r="19" spans="1:46" ht="12.75">
      <c r="A19" s="1074" t="s">
        <v>387</v>
      </c>
      <c r="B19" s="1078"/>
      <c r="C19" s="1076">
        <f t="shared" si="0"/>
      </c>
      <c r="D19" s="938"/>
      <c r="E19" s="909"/>
      <c r="F19" s="1074" t="s">
        <v>387</v>
      </c>
      <c r="G19" s="1079">
        <f t="shared" si="1"/>
        <v>0</v>
      </c>
      <c r="H19" s="1076">
        <f t="shared" si="2"/>
        <v>0</v>
      </c>
      <c r="I19" s="909"/>
      <c r="K19" s="893" t="s">
        <v>387</v>
      </c>
      <c r="L19" s="942">
        <f t="shared" si="3"/>
        <v>0</v>
      </c>
      <c r="M19" s="943">
        <f t="shared" si="9"/>
        <v>0</v>
      </c>
      <c r="N19" s="944">
        <f t="shared" si="4"/>
        <v>0</v>
      </c>
      <c r="O19" s="942">
        <f t="shared" si="10"/>
        <v>0</v>
      </c>
      <c r="P19" s="945">
        <f t="shared" si="5"/>
        <v>0</v>
      </c>
      <c r="Q19" s="879"/>
      <c r="R19" s="864">
        <f t="shared" si="11"/>
        <v>0</v>
      </c>
      <c r="S19" s="864">
        <f t="shared" si="6"/>
        <v>0</v>
      </c>
      <c r="T19" s="864">
        <f t="shared" si="7"/>
        <v>0</v>
      </c>
      <c r="U19" s="868" t="s">
        <v>426</v>
      </c>
      <c r="V19" s="864">
        <f t="shared" si="12"/>
        <v>0</v>
      </c>
      <c r="W19" s="864">
        <f t="shared" si="14"/>
        <v>0</v>
      </c>
      <c r="X19" s="922">
        <f aca="true" t="shared" si="16" ref="X19:X39">W19+X$11</f>
        <v>0</v>
      </c>
      <c r="Y19" s="885">
        <f>Y$11</f>
        <v>0</v>
      </c>
      <c r="Z19" s="885">
        <f aca="true" t="shared" si="17" ref="Z19:AS19">Y19+Z$11</f>
        <v>0</v>
      </c>
      <c r="AA19" s="885">
        <f t="shared" si="17"/>
        <v>0</v>
      </c>
      <c r="AB19" s="885">
        <f t="shared" si="17"/>
        <v>0</v>
      </c>
      <c r="AC19" s="885">
        <f t="shared" si="17"/>
        <v>0</v>
      </c>
      <c r="AD19" s="885">
        <f t="shared" si="17"/>
        <v>0</v>
      </c>
      <c r="AE19" s="885">
        <f t="shared" si="17"/>
        <v>0</v>
      </c>
      <c r="AF19" s="885">
        <f t="shared" si="17"/>
        <v>0</v>
      </c>
      <c r="AG19" s="885">
        <f t="shared" si="17"/>
        <v>0</v>
      </c>
      <c r="AH19" s="885">
        <f t="shared" si="17"/>
        <v>0</v>
      </c>
      <c r="AI19" s="885">
        <f t="shared" si="17"/>
        <v>0</v>
      </c>
      <c r="AJ19" s="885">
        <f t="shared" si="17"/>
        <v>0</v>
      </c>
      <c r="AK19" s="885">
        <f t="shared" si="17"/>
        <v>0</v>
      </c>
      <c r="AL19" s="885">
        <f t="shared" si="17"/>
        <v>0</v>
      </c>
      <c r="AM19" s="885">
        <f t="shared" si="17"/>
        <v>0</v>
      </c>
      <c r="AN19" s="885">
        <f t="shared" si="17"/>
        <v>0</v>
      </c>
      <c r="AO19" s="885">
        <f t="shared" si="17"/>
        <v>0</v>
      </c>
      <c r="AP19" s="885">
        <f t="shared" si="17"/>
        <v>0</v>
      </c>
      <c r="AQ19" s="885">
        <f t="shared" si="17"/>
        <v>0</v>
      </c>
      <c r="AR19" s="885">
        <f t="shared" si="17"/>
        <v>0</v>
      </c>
      <c r="AS19" s="885">
        <f t="shared" si="17"/>
        <v>0</v>
      </c>
      <c r="AT19" s="868" t="s">
        <v>426</v>
      </c>
    </row>
    <row r="20" spans="1:46" ht="12.75">
      <c r="A20" s="1074" t="s">
        <v>388</v>
      </c>
      <c r="B20" s="1078"/>
      <c r="C20" s="1076">
        <f t="shared" si="0"/>
      </c>
      <c r="D20" s="938"/>
      <c r="E20" s="906"/>
      <c r="F20" s="1074" t="s">
        <v>388</v>
      </c>
      <c r="G20" s="1079">
        <f t="shared" si="1"/>
        <v>0</v>
      </c>
      <c r="H20" s="1076">
        <f t="shared" si="2"/>
        <v>0</v>
      </c>
      <c r="I20" s="906"/>
      <c r="K20" s="893" t="s">
        <v>388</v>
      </c>
      <c r="L20" s="942">
        <f t="shared" si="3"/>
        <v>0</v>
      </c>
      <c r="M20" s="943">
        <f t="shared" si="9"/>
        <v>0</v>
      </c>
      <c r="N20" s="944">
        <f t="shared" si="4"/>
        <v>0</v>
      </c>
      <c r="O20" s="942">
        <f t="shared" si="10"/>
        <v>0</v>
      </c>
      <c r="P20" s="945">
        <f t="shared" si="5"/>
        <v>0</v>
      </c>
      <c r="Q20" s="879"/>
      <c r="R20" s="864">
        <f t="shared" si="11"/>
        <v>0</v>
      </c>
      <c r="S20" s="864">
        <f t="shared" si="6"/>
        <v>0</v>
      </c>
      <c r="T20" s="864">
        <f t="shared" si="7"/>
        <v>0</v>
      </c>
      <c r="U20" s="868" t="s">
        <v>427</v>
      </c>
      <c r="V20" s="864">
        <f t="shared" si="12"/>
        <v>0</v>
      </c>
      <c r="W20" s="864">
        <f t="shared" si="14"/>
        <v>0</v>
      </c>
      <c r="X20" s="864">
        <f t="shared" si="16"/>
        <v>0</v>
      </c>
      <c r="Y20" s="922">
        <f aca="true" t="shared" si="18" ref="Y20:Y39">X20+Y$11</f>
        <v>0</v>
      </c>
      <c r="Z20" s="885">
        <f>Z$11</f>
        <v>0</v>
      </c>
      <c r="AA20" s="885">
        <f aca="true" t="shared" si="19" ref="AA20:AS20">Z20+AA$11</f>
        <v>0</v>
      </c>
      <c r="AB20" s="885">
        <f t="shared" si="19"/>
        <v>0</v>
      </c>
      <c r="AC20" s="885">
        <f t="shared" si="19"/>
        <v>0</v>
      </c>
      <c r="AD20" s="885">
        <f t="shared" si="19"/>
        <v>0</v>
      </c>
      <c r="AE20" s="885">
        <f t="shared" si="19"/>
        <v>0</v>
      </c>
      <c r="AF20" s="885">
        <f t="shared" si="19"/>
        <v>0</v>
      </c>
      <c r="AG20" s="885">
        <f t="shared" si="19"/>
        <v>0</v>
      </c>
      <c r="AH20" s="885">
        <f t="shared" si="19"/>
        <v>0</v>
      </c>
      <c r="AI20" s="885">
        <f t="shared" si="19"/>
        <v>0</v>
      </c>
      <c r="AJ20" s="885">
        <f t="shared" si="19"/>
        <v>0</v>
      </c>
      <c r="AK20" s="885">
        <f t="shared" si="19"/>
        <v>0</v>
      </c>
      <c r="AL20" s="885">
        <f t="shared" si="19"/>
        <v>0</v>
      </c>
      <c r="AM20" s="885">
        <f t="shared" si="19"/>
        <v>0</v>
      </c>
      <c r="AN20" s="885">
        <f t="shared" si="19"/>
        <v>0</v>
      </c>
      <c r="AO20" s="885">
        <f t="shared" si="19"/>
        <v>0</v>
      </c>
      <c r="AP20" s="885">
        <f t="shared" si="19"/>
        <v>0</v>
      </c>
      <c r="AQ20" s="885">
        <f t="shared" si="19"/>
        <v>0</v>
      </c>
      <c r="AR20" s="885">
        <f t="shared" si="19"/>
        <v>0</v>
      </c>
      <c r="AS20" s="885">
        <f t="shared" si="19"/>
        <v>0</v>
      </c>
      <c r="AT20" s="868" t="s">
        <v>427</v>
      </c>
    </row>
    <row r="21" spans="1:81" ht="12.75">
      <c r="A21" s="1074" t="s">
        <v>389</v>
      </c>
      <c r="B21" s="1078"/>
      <c r="C21" s="1076">
        <f t="shared" si="0"/>
      </c>
      <c r="D21" s="938"/>
      <c r="E21" s="888"/>
      <c r="F21" s="1074" t="s">
        <v>389</v>
      </c>
      <c r="G21" s="1079">
        <f t="shared" si="1"/>
        <v>0</v>
      </c>
      <c r="H21" s="1076">
        <f t="shared" si="2"/>
        <v>0</v>
      </c>
      <c r="I21" s="888"/>
      <c r="K21" s="893" t="s">
        <v>389</v>
      </c>
      <c r="L21" s="942">
        <f t="shared" si="3"/>
        <v>0</v>
      </c>
      <c r="M21" s="943">
        <f t="shared" si="9"/>
        <v>0</v>
      </c>
      <c r="N21" s="944">
        <f t="shared" si="4"/>
        <v>0</v>
      </c>
      <c r="O21" s="942">
        <f t="shared" si="10"/>
        <v>0</v>
      </c>
      <c r="P21" s="945">
        <f t="shared" si="5"/>
        <v>0</v>
      </c>
      <c r="Q21" s="879"/>
      <c r="R21" s="864">
        <f t="shared" si="11"/>
        <v>0</v>
      </c>
      <c r="S21" s="864">
        <f t="shared" si="6"/>
        <v>0</v>
      </c>
      <c r="T21" s="864">
        <f t="shared" si="7"/>
        <v>0</v>
      </c>
      <c r="U21" s="868" t="s">
        <v>428</v>
      </c>
      <c r="V21" s="864">
        <f t="shared" si="12"/>
        <v>0</v>
      </c>
      <c r="W21" s="864">
        <f t="shared" si="14"/>
        <v>0</v>
      </c>
      <c r="X21" s="864">
        <f t="shared" si="16"/>
        <v>0</v>
      </c>
      <c r="Y21" s="864">
        <f t="shared" si="18"/>
        <v>0</v>
      </c>
      <c r="Z21" s="922">
        <f aca="true" t="shared" si="20" ref="Z21:Z39">Y21+Z$11</f>
        <v>0</v>
      </c>
      <c r="AA21" s="885">
        <f>AA$11</f>
        <v>0</v>
      </c>
      <c r="AB21" s="885">
        <f aca="true" t="shared" si="21" ref="AB21:AS21">AA21+AB$11</f>
        <v>0</v>
      </c>
      <c r="AC21" s="885">
        <f t="shared" si="21"/>
        <v>0</v>
      </c>
      <c r="AD21" s="885">
        <f t="shared" si="21"/>
        <v>0</v>
      </c>
      <c r="AE21" s="885">
        <f t="shared" si="21"/>
        <v>0</v>
      </c>
      <c r="AF21" s="885">
        <f t="shared" si="21"/>
        <v>0</v>
      </c>
      <c r="AG21" s="885">
        <f t="shared" si="21"/>
        <v>0</v>
      </c>
      <c r="AH21" s="885">
        <f t="shared" si="21"/>
        <v>0</v>
      </c>
      <c r="AI21" s="885">
        <f t="shared" si="21"/>
        <v>0</v>
      </c>
      <c r="AJ21" s="885">
        <f t="shared" si="21"/>
        <v>0</v>
      </c>
      <c r="AK21" s="885">
        <f t="shared" si="21"/>
        <v>0</v>
      </c>
      <c r="AL21" s="885">
        <f t="shared" si="21"/>
        <v>0</v>
      </c>
      <c r="AM21" s="885">
        <f t="shared" si="21"/>
        <v>0</v>
      </c>
      <c r="AN21" s="885">
        <f t="shared" si="21"/>
        <v>0</v>
      </c>
      <c r="AO21" s="885">
        <f t="shared" si="21"/>
        <v>0</v>
      </c>
      <c r="AP21" s="885">
        <f t="shared" si="21"/>
        <v>0</v>
      </c>
      <c r="AQ21" s="885">
        <f t="shared" si="21"/>
        <v>0</v>
      </c>
      <c r="AR21" s="885">
        <f t="shared" si="21"/>
        <v>0</v>
      </c>
      <c r="AS21" s="885">
        <f t="shared" si="21"/>
        <v>0</v>
      </c>
      <c r="AT21" s="868" t="s">
        <v>428</v>
      </c>
      <c r="AU21"/>
      <c r="CB21"/>
      <c r="CC21"/>
    </row>
    <row r="22" spans="1:81" ht="12.75">
      <c r="A22" s="1074" t="s">
        <v>390</v>
      </c>
      <c r="B22" s="1078"/>
      <c r="C22" s="1076">
        <f t="shared" si="0"/>
      </c>
      <c r="D22" s="938"/>
      <c r="E22" s="888"/>
      <c r="F22" s="1074" t="s">
        <v>390</v>
      </c>
      <c r="G22" s="1079">
        <f t="shared" si="1"/>
        <v>0</v>
      </c>
      <c r="H22" s="1076">
        <f t="shared" si="2"/>
        <v>0</v>
      </c>
      <c r="I22" s="888"/>
      <c r="K22" s="893" t="s">
        <v>390</v>
      </c>
      <c r="L22" s="942">
        <f t="shared" si="3"/>
        <v>0</v>
      </c>
      <c r="M22" s="943">
        <f t="shared" si="9"/>
        <v>0</v>
      </c>
      <c r="N22" s="944">
        <f t="shared" si="4"/>
        <v>0</v>
      </c>
      <c r="O22" s="942">
        <f t="shared" si="10"/>
        <v>0</v>
      </c>
      <c r="P22" s="945">
        <f t="shared" si="5"/>
        <v>0</v>
      </c>
      <c r="Q22" s="866"/>
      <c r="R22" s="864">
        <f t="shared" si="11"/>
        <v>0</v>
      </c>
      <c r="S22" s="864">
        <f t="shared" si="6"/>
        <v>0</v>
      </c>
      <c r="T22" s="864">
        <f t="shared" si="7"/>
        <v>0</v>
      </c>
      <c r="U22" s="868" t="s">
        <v>429</v>
      </c>
      <c r="V22" s="864">
        <f t="shared" si="12"/>
        <v>0</v>
      </c>
      <c r="W22" s="864">
        <f t="shared" si="14"/>
        <v>0</v>
      </c>
      <c r="X22" s="864">
        <f t="shared" si="16"/>
        <v>0</v>
      </c>
      <c r="Y22" s="864">
        <f t="shared" si="18"/>
        <v>0</v>
      </c>
      <c r="Z22" s="864">
        <f t="shared" si="20"/>
        <v>0</v>
      </c>
      <c r="AA22" s="922">
        <f aca="true" t="shared" si="22" ref="AA22:AA39">Z22+AA$11</f>
        <v>0</v>
      </c>
      <c r="AB22" s="885">
        <f>AB$11</f>
        <v>0</v>
      </c>
      <c r="AC22" s="885">
        <f aca="true" t="shared" si="23" ref="AC22:AS22">AB22+AC$11</f>
        <v>0</v>
      </c>
      <c r="AD22" s="885">
        <f t="shared" si="23"/>
        <v>0</v>
      </c>
      <c r="AE22" s="885">
        <f t="shared" si="23"/>
        <v>0</v>
      </c>
      <c r="AF22" s="885">
        <f t="shared" si="23"/>
        <v>0</v>
      </c>
      <c r="AG22" s="885">
        <f t="shared" si="23"/>
        <v>0</v>
      </c>
      <c r="AH22" s="885">
        <f t="shared" si="23"/>
        <v>0</v>
      </c>
      <c r="AI22" s="885">
        <f t="shared" si="23"/>
        <v>0</v>
      </c>
      <c r="AJ22" s="885">
        <f t="shared" si="23"/>
        <v>0</v>
      </c>
      <c r="AK22" s="885">
        <f t="shared" si="23"/>
        <v>0</v>
      </c>
      <c r="AL22" s="885">
        <f t="shared" si="23"/>
        <v>0</v>
      </c>
      <c r="AM22" s="885">
        <f t="shared" si="23"/>
        <v>0</v>
      </c>
      <c r="AN22" s="885">
        <f t="shared" si="23"/>
        <v>0</v>
      </c>
      <c r="AO22" s="885">
        <f t="shared" si="23"/>
        <v>0</v>
      </c>
      <c r="AP22" s="885">
        <f t="shared" si="23"/>
        <v>0</v>
      </c>
      <c r="AQ22" s="885">
        <f t="shared" si="23"/>
        <v>0</v>
      </c>
      <c r="AR22" s="885">
        <f t="shared" si="23"/>
        <v>0</v>
      </c>
      <c r="AS22" s="885">
        <f t="shared" si="23"/>
        <v>0</v>
      </c>
      <c r="AT22" s="868" t="s">
        <v>429</v>
      </c>
      <c r="AU22"/>
      <c r="CB22"/>
      <c r="CC22"/>
    </row>
    <row r="23" spans="1:81" ht="12.75">
      <c r="A23" s="1074" t="s">
        <v>391</v>
      </c>
      <c r="B23" s="1078"/>
      <c r="C23" s="1076">
        <f t="shared" si="0"/>
      </c>
      <c r="D23" s="938"/>
      <c r="E23" s="888"/>
      <c r="F23" s="1074" t="s">
        <v>391</v>
      </c>
      <c r="G23" s="1079">
        <f t="shared" si="1"/>
        <v>0</v>
      </c>
      <c r="H23" s="1076">
        <f t="shared" si="2"/>
        <v>0</v>
      </c>
      <c r="I23" s="888"/>
      <c r="K23" s="893" t="s">
        <v>391</v>
      </c>
      <c r="L23" s="942">
        <f t="shared" si="3"/>
        <v>0</v>
      </c>
      <c r="M23" s="943">
        <f t="shared" si="9"/>
        <v>0</v>
      </c>
      <c r="N23" s="944">
        <f t="shared" si="4"/>
        <v>0</v>
      </c>
      <c r="O23" s="942">
        <f t="shared" si="10"/>
        <v>0</v>
      </c>
      <c r="P23" s="945">
        <f t="shared" si="5"/>
        <v>0</v>
      </c>
      <c r="Q23" s="866"/>
      <c r="R23" s="864">
        <f t="shared" si="11"/>
        <v>0</v>
      </c>
      <c r="S23" s="864">
        <f t="shared" si="6"/>
        <v>0</v>
      </c>
      <c r="T23" s="864">
        <f t="shared" si="7"/>
        <v>0</v>
      </c>
      <c r="U23" s="868" t="s">
        <v>382</v>
      </c>
      <c r="V23" s="864">
        <f t="shared" si="12"/>
        <v>0</v>
      </c>
      <c r="W23" s="864">
        <f t="shared" si="14"/>
        <v>0</v>
      </c>
      <c r="X23" s="864">
        <f t="shared" si="16"/>
        <v>0</v>
      </c>
      <c r="Y23" s="864">
        <f t="shared" si="18"/>
        <v>0</v>
      </c>
      <c r="Z23" s="864">
        <f t="shared" si="20"/>
        <v>0</v>
      </c>
      <c r="AA23" s="864">
        <f t="shared" si="22"/>
        <v>0</v>
      </c>
      <c r="AB23" s="922">
        <f aca="true" t="shared" si="24" ref="AB23:AB39">AA23+AB$11</f>
        <v>0</v>
      </c>
      <c r="AC23" s="885">
        <f>AC$11</f>
        <v>0</v>
      </c>
      <c r="AD23" s="885">
        <f aca="true" t="shared" si="25" ref="AD23:AS23">AC23+AD$11</f>
        <v>0</v>
      </c>
      <c r="AE23" s="885">
        <f t="shared" si="25"/>
        <v>0</v>
      </c>
      <c r="AF23" s="885">
        <f t="shared" si="25"/>
        <v>0</v>
      </c>
      <c r="AG23" s="885">
        <f t="shared" si="25"/>
        <v>0</v>
      </c>
      <c r="AH23" s="885">
        <f t="shared" si="25"/>
        <v>0</v>
      </c>
      <c r="AI23" s="885">
        <f t="shared" si="25"/>
        <v>0</v>
      </c>
      <c r="AJ23" s="885">
        <f t="shared" si="25"/>
        <v>0</v>
      </c>
      <c r="AK23" s="885">
        <f t="shared" si="25"/>
        <v>0</v>
      </c>
      <c r="AL23" s="885">
        <f t="shared" si="25"/>
        <v>0</v>
      </c>
      <c r="AM23" s="885">
        <f t="shared" si="25"/>
        <v>0</v>
      </c>
      <c r="AN23" s="885">
        <f t="shared" si="25"/>
        <v>0</v>
      </c>
      <c r="AO23" s="885">
        <f t="shared" si="25"/>
        <v>0</v>
      </c>
      <c r="AP23" s="885">
        <f t="shared" si="25"/>
        <v>0</v>
      </c>
      <c r="AQ23" s="885">
        <f t="shared" si="25"/>
        <v>0</v>
      </c>
      <c r="AR23" s="885">
        <f t="shared" si="25"/>
        <v>0</v>
      </c>
      <c r="AS23" s="885">
        <f t="shared" si="25"/>
        <v>0</v>
      </c>
      <c r="AT23" s="868" t="s">
        <v>382</v>
      </c>
      <c r="AU23"/>
      <c r="CB23"/>
      <c r="CC23"/>
    </row>
    <row r="24" spans="1:81" ht="12.75">
      <c r="A24" s="1074" t="s">
        <v>392</v>
      </c>
      <c r="B24" s="1078"/>
      <c r="C24" s="1076">
        <f t="shared" si="0"/>
      </c>
      <c r="D24" s="938"/>
      <c r="E24" s="888"/>
      <c r="F24" s="1074" t="s">
        <v>392</v>
      </c>
      <c r="G24" s="1079">
        <f t="shared" si="1"/>
        <v>0</v>
      </c>
      <c r="H24" s="1076">
        <f t="shared" si="2"/>
        <v>0</v>
      </c>
      <c r="I24" s="888"/>
      <c r="K24" s="893" t="s">
        <v>392</v>
      </c>
      <c r="L24" s="942">
        <f t="shared" si="3"/>
        <v>0</v>
      </c>
      <c r="M24" s="943">
        <f t="shared" si="9"/>
        <v>0</v>
      </c>
      <c r="N24" s="944">
        <f t="shared" si="4"/>
        <v>0</v>
      </c>
      <c r="O24" s="942">
        <f t="shared" si="10"/>
        <v>0</v>
      </c>
      <c r="P24" s="945">
        <f t="shared" si="5"/>
        <v>0</v>
      </c>
      <c r="Q24" s="866"/>
      <c r="R24" s="864">
        <f t="shared" si="11"/>
        <v>0</v>
      </c>
      <c r="S24" s="864">
        <f t="shared" si="6"/>
        <v>0</v>
      </c>
      <c r="T24" s="864">
        <f t="shared" si="7"/>
        <v>0</v>
      </c>
      <c r="U24" s="868" t="s">
        <v>430</v>
      </c>
      <c r="V24" s="864">
        <f t="shared" si="12"/>
        <v>0</v>
      </c>
      <c r="W24" s="864">
        <f t="shared" si="14"/>
        <v>0</v>
      </c>
      <c r="X24" s="864">
        <f t="shared" si="16"/>
        <v>0</v>
      </c>
      <c r="Y24" s="864">
        <f t="shared" si="18"/>
        <v>0</v>
      </c>
      <c r="Z24" s="864">
        <f t="shared" si="20"/>
        <v>0</v>
      </c>
      <c r="AA24" s="864">
        <f t="shared" si="22"/>
        <v>0</v>
      </c>
      <c r="AB24" s="864">
        <f t="shared" si="24"/>
        <v>0</v>
      </c>
      <c r="AC24" s="922">
        <f aca="true" t="shared" si="26" ref="AC24:AC39">AB24+AC$11</f>
        <v>0</v>
      </c>
      <c r="AD24" s="885">
        <f>AD$11</f>
        <v>0</v>
      </c>
      <c r="AE24" s="885">
        <f aca="true" t="shared" si="27" ref="AE24:AS24">AD24+AE$11</f>
        <v>0</v>
      </c>
      <c r="AF24" s="885">
        <f t="shared" si="27"/>
        <v>0</v>
      </c>
      <c r="AG24" s="885">
        <f t="shared" si="27"/>
        <v>0</v>
      </c>
      <c r="AH24" s="885">
        <f t="shared" si="27"/>
        <v>0</v>
      </c>
      <c r="AI24" s="885">
        <f t="shared" si="27"/>
        <v>0</v>
      </c>
      <c r="AJ24" s="885">
        <f t="shared" si="27"/>
        <v>0</v>
      </c>
      <c r="AK24" s="885">
        <f t="shared" si="27"/>
        <v>0</v>
      </c>
      <c r="AL24" s="885">
        <f t="shared" si="27"/>
        <v>0</v>
      </c>
      <c r="AM24" s="885">
        <f t="shared" si="27"/>
        <v>0</v>
      </c>
      <c r="AN24" s="885">
        <f t="shared" si="27"/>
        <v>0</v>
      </c>
      <c r="AO24" s="885">
        <f t="shared" si="27"/>
        <v>0</v>
      </c>
      <c r="AP24" s="885">
        <f t="shared" si="27"/>
        <v>0</v>
      </c>
      <c r="AQ24" s="885">
        <f t="shared" si="27"/>
        <v>0</v>
      </c>
      <c r="AR24" s="885">
        <f t="shared" si="27"/>
        <v>0</v>
      </c>
      <c r="AS24" s="885">
        <f t="shared" si="27"/>
        <v>0</v>
      </c>
      <c r="AT24" s="868" t="s">
        <v>430</v>
      </c>
      <c r="AU24"/>
      <c r="CB24"/>
      <c r="CC24"/>
    </row>
    <row r="25" spans="1:81" ht="12.75">
      <c r="A25" s="1074" t="s">
        <v>393</v>
      </c>
      <c r="B25" s="1078"/>
      <c r="C25" s="1076">
        <f t="shared" si="0"/>
      </c>
      <c r="D25" s="938"/>
      <c r="E25" s="888"/>
      <c r="F25" s="1074" t="s">
        <v>393</v>
      </c>
      <c r="G25" s="1079">
        <f t="shared" si="1"/>
        <v>0</v>
      </c>
      <c r="H25" s="1076">
        <f t="shared" si="2"/>
        <v>0</v>
      </c>
      <c r="I25" s="888"/>
      <c r="K25" s="893" t="s">
        <v>393</v>
      </c>
      <c r="L25" s="942">
        <f t="shared" si="3"/>
        <v>0</v>
      </c>
      <c r="M25" s="943">
        <f t="shared" si="9"/>
        <v>0</v>
      </c>
      <c r="N25" s="944">
        <f t="shared" si="4"/>
        <v>0</v>
      </c>
      <c r="O25" s="942">
        <f t="shared" si="10"/>
        <v>0</v>
      </c>
      <c r="P25" s="945">
        <f t="shared" si="5"/>
        <v>0</v>
      </c>
      <c r="Q25" s="866"/>
      <c r="R25" s="864">
        <f t="shared" si="11"/>
        <v>0</v>
      </c>
      <c r="S25" s="864">
        <f t="shared" si="6"/>
        <v>0</v>
      </c>
      <c r="T25" s="864">
        <f t="shared" si="7"/>
        <v>0</v>
      </c>
      <c r="U25" s="868" t="s">
        <v>431</v>
      </c>
      <c r="V25" s="864">
        <f t="shared" si="12"/>
        <v>0</v>
      </c>
      <c r="W25" s="864">
        <f t="shared" si="14"/>
        <v>0</v>
      </c>
      <c r="X25" s="864">
        <f t="shared" si="16"/>
        <v>0</v>
      </c>
      <c r="Y25" s="864">
        <f t="shared" si="18"/>
        <v>0</v>
      </c>
      <c r="Z25" s="864">
        <f t="shared" si="20"/>
        <v>0</v>
      </c>
      <c r="AA25" s="864">
        <f t="shared" si="22"/>
        <v>0</v>
      </c>
      <c r="AB25" s="864">
        <f t="shared" si="24"/>
        <v>0</v>
      </c>
      <c r="AC25" s="864">
        <f t="shared" si="26"/>
        <v>0</v>
      </c>
      <c r="AD25" s="922">
        <f aca="true" t="shared" si="28" ref="AD25:AD39">AC25+AD$11</f>
        <v>0</v>
      </c>
      <c r="AE25" s="885">
        <f>AE$11</f>
        <v>0</v>
      </c>
      <c r="AF25" s="885">
        <f aca="true" t="shared" si="29" ref="AF25:AS25">AE25+AF$11</f>
        <v>0</v>
      </c>
      <c r="AG25" s="885">
        <f t="shared" si="29"/>
        <v>0</v>
      </c>
      <c r="AH25" s="885">
        <f t="shared" si="29"/>
        <v>0</v>
      </c>
      <c r="AI25" s="885">
        <f t="shared" si="29"/>
        <v>0</v>
      </c>
      <c r="AJ25" s="885">
        <f t="shared" si="29"/>
        <v>0</v>
      </c>
      <c r="AK25" s="885">
        <f t="shared" si="29"/>
        <v>0</v>
      </c>
      <c r="AL25" s="885">
        <f t="shared" si="29"/>
        <v>0</v>
      </c>
      <c r="AM25" s="885">
        <f t="shared" si="29"/>
        <v>0</v>
      </c>
      <c r="AN25" s="885">
        <f t="shared" si="29"/>
        <v>0</v>
      </c>
      <c r="AO25" s="885">
        <f t="shared" si="29"/>
        <v>0</v>
      </c>
      <c r="AP25" s="885">
        <f t="shared" si="29"/>
        <v>0</v>
      </c>
      <c r="AQ25" s="885">
        <f t="shared" si="29"/>
        <v>0</v>
      </c>
      <c r="AR25" s="885">
        <f t="shared" si="29"/>
        <v>0</v>
      </c>
      <c r="AS25" s="885">
        <f t="shared" si="29"/>
        <v>0</v>
      </c>
      <c r="AT25" s="868" t="s">
        <v>431</v>
      </c>
      <c r="AU25"/>
      <c r="CB25"/>
      <c r="CC25"/>
    </row>
    <row r="26" spans="1:81" ht="12.75">
      <c r="A26" s="1074" t="s">
        <v>394</v>
      </c>
      <c r="B26" s="1078"/>
      <c r="C26" s="1076">
        <f t="shared" si="0"/>
      </c>
      <c r="D26" s="938"/>
      <c r="E26" s="888"/>
      <c r="F26" s="1074" t="s">
        <v>394</v>
      </c>
      <c r="G26" s="1079">
        <f t="shared" si="1"/>
        <v>0</v>
      </c>
      <c r="H26" s="1076">
        <f t="shared" si="2"/>
        <v>0</v>
      </c>
      <c r="I26" s="888"/>
      <c r="K26" s="893" t="s">
        <v>394</v>
      </c>
      <c r="L26" s="942">
        <f t="shared" si="3"/>
        <v>0</v>
      </c>
      <c r="M26" s="943">
        <f t="shared" si="9"/>
        <v>0</v>
      </c>
      <c r="N26" s="944">
        <f t="shared" si="4"/>
        <v>0</v>
      </c>
      <c r="O26" s="942">
        <f t="shared" si="10"/>
        <v>0</v>
      </c>
      <c r="P26" s="945">
        <f t="shared" si="5"/>
        <v>0</v>
      </c>
      <c r="Q26" s="866"/>
      <c r="R26" s="864">
        <f t="shared" si="11"/>
        <v>0</v>
      </c>
      <c r="S26" s="864">
        <f t="shared" si="6"/>
        <v>0</v>
      </c>
      <c r="T26" s="864">
        <f t="shared" si="7"/>
        <v>0</v>
      </c>
      <c r="U26" s="868" t="s">
        <v>432</v>
      </c>
      <c r="V26" s="864">
        <f t="shared" si="12"/>
        <v>0</v>
      </c>
      <c r="W26" s="864">
        <f t="shared" si="14"/>
        <v>0</v>
      </c>
      <c r="X26" s="864">
        <f t="shared" si="16"/>
        <v>0</v>
      </c>
      <c r="Y26" s="864">
        <f t="shared" si="18"/>
        <v>0</v>
      </c>
      <c r="Z26" s="864">
        <f t="shared" si="20"/>
        <v>0</v>
      </c>
      <c r="AA26" s="864">
        <f t="shared" si="22"/>
        <v>0</v>
      </c>
      <c r="AB26" s="864">
        <f t="shared" si="24"/>
        <v>0</v>
      </c>
      <c r="AC26" s="864">
        <f t="shared" si="26"/>
        <v>0</v>
      </c>
      <c r="AD26" s="864">
        <f t="shared" si="28"/>
        <v>0</v>
      </c>
      <c r="AE26" s="922">
        <f aca="true" t="shared" si="30" ref="AE26:AE39">AD26+AE$11</f>
        <v>0</v>
      </c>
      <c r="AF26" s="885">
        <f>AF$11</f>
        <v>0</v>
      </c>
      <c r="AG26" s="885">
        <f aca="true" t="shared" si="31" ref="AG26:AS26">AF26+AG$11</f>
        <v>0</v>
      </c>
      <c r="AH26" s="885">
        <f t="shared" si="31"/>
        <v>0</v>
      </c>
      <c r="AI26" s="885">
        <f t="shared" si="31"/>
        <v>0</v>
      </c>
      <c r="AJ26" s="885">
        <f t="shared" si="31"/>
        <v>0</v>
      </c>
      <c r="AK26" s="885">
        <f t="shared" si="31"/>
        <v>0</v>
      </c>
      <c r="AL26" s="885">
        <f t="shared" si="31"/>
        <v>0</v>
      </c>
      <c r="AM26" s="885">
        <f t="shared" si="31"/>
        <v>0</v>
      </c>
      <c r="AN26" s="885">
        <f t="shared" si="31"/>
        <v>0</v>
      </c>
      <c r="AO26" s="885">
        <f t="shared" si="31"/>
        <v>0</v>
      </c>
      <c r="AP26" s="885">
        <f t="shared" si="31"/>
        <v>0</v>
      </c>
      <c r="AQ26" s="885">
        <f t="shared" si="31"/>
        <v>0</v>
      </c>
      <c r="AR26" s="885">
        <f t="shared" si="31"/>
        <v>0</v>
      </c>
      <c r="AS26" s="885">
        <f t="shared" si="31"/>
        <v>0</v>
      </c>
      <c r="AT26" s="868" t="s">
        <v>432</v>
      </c>
      <c r="AU26"/>
      <c r="CB26"/>
      <c r="CC26"/>
    </row>
    <row r="27" spans="1:81" ht="12.75">
      <c r="A27" s="1074" t="s">
        <v>395</v>
      </c>
      <c r="B27" s="1078"/>
      <c r="C27" s="1076">
        <f t="shared" si="0"/>
      </c>
      <c r="D27" s="938"/>
      <c r="E27" s="888"/>
      <c r="F27" s="1074" t="s">
        <v>395</v>
      </c>
      <c r="G27" s="1079">
        <f t="shared" si="1"/>
        <v>0</v>
      </c>
      <c r="H27" s="1076">
        <f t="shared" si="2"/>
        <v>0</v>
      </c>
      <c r="I27" s="888"/>
      <c r="K27" s="893" t="s">
        <v>395</v>
      </c>
      <c r="L27" s="942">
        <f t="shared" si="3"/>
        <v>0</v>
      </c>
      <c r="M27" s="943">
        <f t="shared" si="9"/>
        <v>0</v>
      </c>
      <c r="N27" s="944">
        <f t="shared" si="4"/>
        <v>0</v>
      </c>
      <c r="O27" s="942">
        <f t="shared" si="10"/>
        <v>0</v>
      </c>
      <c r="P27" s="945">
        <f t="shared" si="5"/>
        <v>0</v>
      </c>
      <c r="Q27" s="866"/>
      <c r="R27" s="864">
        <f t="shared" si="11"/>
        <v>0</v>
      </c>
      <c r="S27" s="864">
        <f t="shared" si="6"/>
        <v>0</v>
      </c>
      <c r="T27" s="864">
        <f t="shared" si="7"/>
        <v>0</v>
      </c>
      <c r="U27" s="887" t="s">
        <v>433</v>
      </c>
      <c r="V27" s="864">
        <f t="shared" si="12"/>
        <v>0</v>
      </c>
      <c r="W27" s="864">
        <f t="shared" si="14"/>
        <v>0</v>
      </c>
      <c r="X27" s="864">
        <f t="shared" si="16"/>
        <v>0</v>
      </c>
      <c r="Y27" s="864">
        <f t="shared" si="18"/>
        <v>0</v>
      </c>
      <c r="Z27" s="864">
        <f t="shared" si="20"/>
        <v>0</v>
      </c>
      <c r="AA27" s="864">
        <f t="shared" si="22"/>
        <v>0</v>
      </c>
      <c r="AB27" s="864">
        <f t="shared" si="24"/>
        <v>0</v>
      </c>
      <c r="AC27" s="864">
        <f t="shared" si="26"/>
        <v>0</v>
      </c>
      <c r="AD27" s="864">
        <f t="shared" si="28"/>
        <v>0</v>
      </c>
      <c r="AE27" s="864">
        <f t="shared" si="30"/>
        <v>0</v>
      </c>
      <c r="AF27" s="922">
        <f aca="true" t="shared" si="32" ref="AF27:AF39">AE27+AF$11</f>
        <v>0</v>
      </c>
      <c r="AG27" s="885">
        <f>AG$11</f>
        <v>0</v>
      </c>
      <c r="AH27" s="885">
        <f aca="true" t="shared" si="33" ref="AH27:AS27">AG27+AH$11</f>
        <v>0</v>
      </c>
      <c r="AI27" s="885">
        <f t="shared" si="33"/>
        <v>0</v>
      </c>
      <c r="AJ27" s="885">
        <f t="shared" si="33"/>
        <v>0</v>
      </c>
      <c r="AK27" s="885">
        <f t="shared" si="33"/>
        <v>0</v>
      </c>
      <c r="AL27" s="885">
        <f t="shared" si="33"/>
        <v>0</v>
      </c>
      <c r="AM27" s="885">
        <f t="shared" si="33"/>
        <v>0</v>
      </c>
      <c r="AN27" s="885">
        <f t="shared" si="33"/>
        <v>0</v>
      </c>
      <c r="AO27" s="885">
        <f t="shared" si="33"/>
        <v>0</v>
      </c>
      <c r="AP27" s="885">
        <f t="shared" si="33"/>
        <v>0</v>
      </c>
      <c r="AQ27" s="885">
        <f t="shared" si="33"/>
        <v>0</v>
      </c>
      <c r="AR27" s="885">
        <f t="shared" si="33"/>
        <v>0</v>
      </c>
      <c r="AS27" s="885">
        <f t="shared" si="33"/>
        <v>0</v>
      </c>
      <c r="AT27" s="887" t="s">
        <v>433</v>
      </c>
      <c r="AU27"/>
      <c r="CB27"/>
      <c r="CC27"/>
    </row>
    <row r="28" spans="1:81" ht="12.75">
      <c r="A28" s="1074" t="s">
        <v>396</v>
      </c>
      <c r="B28" s="1078"/>
      <c r="C28" s="1076">
        <f t="shared" si="0"/>
      </c>
      <c r="D28" s="938"/>
      <c r="E28" s="888"/>
      <c r="F28" s="1074" t="s">
        <v>396</v>
      </c>
      <c r="G28" s="1079">
        <f t="shared" si="1"/>
        <v>0</v>
      </c>
      <c r="H28" s="1076">
        <f t="shared" si="2"/>
        <v>0</v>
      </c>
      <c r="I28" s="888"/>
      <c r="K28" s="893" t="s">
        <v>396</v>
      </c>
      <c r="L28" s="942">
        <f t="shared" si="3"/>
        <v>0</v>
      </c>
      <c r="M28" s="943">
        <f t="shared" si="9"/>
        <v>0</v>
      </c>
      <c r="N28" s="944">
        <f t="shared" si="4"/>
        <v>0</v>
      </c>
      <c r="O28" s="942">
        <f t="shared" si="10"/>
        <v>0</v>
      </c>
      <c r="P28" s="945">
        <f t="shared" si="5"/>
        <v>0</v>
      </c>
      <c r="Q28" s="866"/>
      <c r="R28" s="864">
        <f t="shared" si="11"/>
        <v>0</v>
      </c>
      <c r="S28" s="864">
        <f t="shared" si="6"/>
        <v>0</v>
      </c>
      <c r="T28" s="864">
        <f t="shared" si="7"/>
        <v>0</v>
      </c>
      <c r="U28" s="887" t="s">
        <v>434</v>
      </c>
      <c r="V28" s="864">
        <f t="shared" si="12"/>
        <v>0</v>
      </c>
      <c r="W28" s="864">
        <f t="shared" si="14"/>
        <v>0</v>
      </c>
      <c r="X28" s="864">
        <f t="shared" si="16"/>
        <v>0</v>
      </c>
      <c r="Y28" s="864">
        <f t="shared" si="18"/>
        <v>0</v>
      </c>
      <c r="Z28" s="864">
        <f t="shared" si="20"/>
        <v>0</v>
      </c>
      <c r="AA28" s="864">
        <f t="shared" si="22"/>
        <v>0</v>
      </c>
      <c r="AB28" s="864">
        <f t="shared" si="24"/>
        <v>0</v>
      </c>
      <c r="AC28" s="864">
        <f t="shared" si="26"/>
        <v>0</v>
      </c>
      <c r="AD28" s="864">
        <f t="shared" si="28"/>
        <v>0</v>
      </c>
      <c r="AE28" s="864">
        <f t="shared" si="30"/>
        <v>0</v>
      </c>
      <c r="AF28" s="864">
        <f t="shared" si="32"/>
        <v>0</v>
      </c>
      <c r="AG28" s="922">
        <f aca="true" t="shared" si="34" ref="AG28:AG39">AF28+AG$11</f>
        <v>0</v>
      </c>
      <c r="AH28" s="885">
        <f>AH$11</f>
        <v>0</v>
      </c>
      <c r="AI28" s="885">
        <f aca="true" t="shared" si="35" ref="AI28:AS28">AH28+AI$11</f>
        <v>0</v>
      </c>
      <c r="AJ28" s="885">
        <f t="shared" si="35"/>
        <v>0</v>
      </c>
      <c r="AK28" s="885">
        <f t="shared" si="35"/>
        <v>0</v>
      </c>
      <c r="AL28" s="885">
        <f t="shared" si="35"/>
        <v>0</v>
      </c>
      <c r="AM28" s="885">
        <f t="shared" si="35"/>
        <v>0</v>
      </c>
      <c r="AN28" s="885">
        <f t="shared" si="35"/>
        <v>0</v>
      </c>
      <c r="AO28" s="885">
        <f t="shared" si="35"/>
        <v>0</v>
      </c>
      <c r="AP28" s="885">
        <f t="shared" si="35"/>
        <v>0</v>
      </c>
      <c r="AQ28" s="885">
        <f t="shared" si="35"/>
        <v>0</v>
      </c>
      <c r="AR28" s="885">
        <f t="shared" si="35"/>
        <v>0</v>
      </c>
      <c r="AS28" s="885">
        <f t="shared" si="35"/>
        <v>0</v>
      </c>
      <c r="AT28" s="887" t="s">
        <v>434</v>
      </c>
      <c r="AU28"/>
      <c r="CB28"/>
      <c r="CC28"/>
    </row>
    <row r="29" spans="1:81" ht="12.75">
      <c r="A29" s="1074" t="s">
        <v>397</v>
      </c>
      <c r="B29" s="1078"/>
      <c r="C29" s="1076">
        <f t="shared" si="0"/>
      </c>
      <c r="D29" s="938"/>
      <c r="E29" s="888"/>
      <c r="F29" s="1074" t="s">
        <v>397</v>
      </c>
      <c r="G29" s="1079">
        <f t="shared" si="1"/>
        <v>0</v>
      </c>
      <c r="H29" s="1076">
        <f t="shared" si="2"/>
        <v>0</v>
      </c>
      <c r="I29" s="888"/>
      <c r="K29" s="893" t="s">
        <v>397</v>
      </c>
      <c r="L29" s="942">
        <f t="shared" si="3"/>
        <v>0</v>
      </c>
      <c r="M29" s="943">
        <f t="shared" si="9"/>
        <v>0</v>
      </c>
      <c r="N29" s="944">
        <f t="shared" si="4"/>
        <v>0</v>
      </c>
      <c r="O29" s="942">
        <f t="shared" si="10"/>
        <v>0</v>
      </c>
      <c r="P29" s="945">
        <f t="shared" si="5"/>
        <v>0</v>
      </c>
      <c r="Q29" s="866"/>
      <c r="R29" s="864">
        <f t="shared" si="11"/>
        <v>0</v>
      </c>
      <c r="S29" s="864">
        <f t="shared" si="6"/>
        <v>0</v>
      </c>
      <c r="T29" s="864">
        <f t="shared" si="7"/>
        <v>0</v>
      </c>
      <c r="U29" s="887" t="s">
        <v>435</v>
      </c>
      <c r="V29" s="864">
        <f t="shared" si="12"/>
        <v>0</v>
      </c>
      <c r="W29" s="864">
        <f t="shared" si="14"/>
        <v>0</v>
      </c>
      <c r="X29" s="864">
        <f t="shared" si="16"/>
        <v>0</v>
      </c>
      <c r="Y29" s="864">
        <f t="shared" si="18"/>
        <v>0</v>
      </c>
      <c r="Z29" s="864">
        <f t="shared" si="20"/>
        <v>0</v>
      </c>
      <c r="AA29" s="864">
        <f t="shared" si="22"/>
        <v>0</v>
      </c>
      <c r="AB29" s="864">
        <f t="shared" si="24"/>
        <v>0</v>
      </c>
      <c r="AC29" s="864">
        <f t="shared" si="26"/>
        <v>0</v>
      </c>
      <c r="AD29" s="864">
        <f t="shared" si="28"/>
        <v>0</v>
      </c>
      <c r="AE29" s="864">
        <f t="shared" si="30"/>
        <v>0</v>
      </c>
      <c r="AF29" s="864">
        <f t="shared" si="32"/>
        <v>0</v>
      </c>
      <c r="AG29" s="864">
        <f t="shared" si="34"/>
        <v>0</v>
      </c>
      <c r="AH29" s="922">
        <f aca="true" t="shared" si="36" ref="AH29:AH39">AG29+AH$11</f>
        <v>0</v>
      </c>
      <c r="AI29" s="885">
        <f>AI$11</f>
        <v>0</v>
      </c>
      <c r="AJ29" s="885">
        <f aca="true" t="shared" si="37" ref="AJ29:AS29">AI29+AJ$11</f>
        <v>0</v>
      </c>
      <c r="AK29" s="885">
        <f t="shared" si="37"/>
        <v>0</v>
      </c>
      <c r="AL29" s="885">
        <f t="shared" si="37"/>
        <v>0</v>
      </c>
      <c r="AM29" s="885">
        <f t="shared" si="37"/>
        <v>0</v>
      </c>
      <c r="AN29" s="885">
        <f t="shared" si="37"/>
        <v>0</v>
      </c>
      <c r="AO29" s="885">
        <f t="shared" si="37"/>
        <v>0</v>
      </c>
      <c r="AP29" s="885">
        <f t="shared" si="37"/>
        <v>0</v>
      </c>
      <c r="AQ29" s="885">
        <f t="shared" si="37"/>
        <v>0</v>
      </c>
      <c r="AR29" s="885">
        <f t="shared" si="37"/>
        <v>0</v>
      </c>
      <c r="AS29" s="885">
        <f t="shared" si="37"/>
        <v>0</v>
      </c>
      <c r="AT29" s="887" t="s">
        <v>435</v>
      </c>
      <c r="AU29"/>
      <c r="CB29"/>
      <c r="CC29"/>
    </row>
    <row r="30" spans="1:81" ht="12.75">
      <c r="A30" s="1074" t="s">
        <v>398</v>
      </c>
      <c r="B30" s="1078"/>
      <c r="C30" s="1076">
        <f t="shared" si="0"/>
      </c>
      <c r="D30" s="938"/>
      <c r="E30" s="888"/>
      <c r="F30" s="1074" t="s">
        <v>398</v>
      </c>
      <c r="G30" s="1079">
        <f t="shared" si="1"/>
        <v>0</v>
      </c>
      <c r="H30" s="1076">
        <f t="shared" si="2"/>
        <v>0</v>
      </c>
      <c r="I30" s="888"/>
      <c r="K30" s="893" t="s">
        <v>398</v>
      </c>
      <c r="L30" s="942">
        <f t="shared" si="3"/>
        <v>0</v>
      </c>
      <c r="M30" s="943">
        <f t="shared" si="9"/>
        <v>0</v>
      </c>
      <c r="N30" s="944">
        <f t="shared" si="4"/>
        <v>0</v>
      </c>
      <c r="O30" s="942">
        <f t="shared" si="10"/>
        <v>0</v>
      </c>
      <c r="P30" s="945">
        <f t="shared" si="5"/>
        <v>0</v>
      </c>
      <c r="Q30" s="866"/>
      <c r="R30" s="864">
        <f t="shared" si="11"/>
        <v>0</v>
      </c>
      <c r="S30" s="864">
        <f t="shared" si="6"/>
        <v>0</v>
      </c>
      <c r="T30" s="864">
        <f t="shared" si="7"/>
        <v>0</v>
      </c>
      <c r="U30" s="887" t="s">
        <v>436</v>
      </c>
      <c r="V30" s="864">
        <f t="shared" si="12"/>
        <v>0</v>
      </c>
      <c r="W30" s="864">
        <f t="shared" si="14"/>
        <v>0</v>
      </c>
      <c r="X30" s="864">
        <f t="shared" si="16"/>
        <v>0</v>
      </c>
      <c r="Y30" s="864">
        <f t="shared" si="18"/>
        <v>0</v>
      </c>
      <c r="Z30" s="864">
        <f t="shared" si="20"/>
        <v>0</v>
      </c>
      <c r="AA30" s="864">
        <f t="shared" si="22"/>
        <v>0</v>
      </c>
      <c r="AB30" s="864">
        <f t="shared" si="24"/>
        <v>0</v>
      </c>
      <c r="AC30" s="864">
        <f t="shared" si="26"/>
        <v>0</v>
      </c>
      <c r="AD30" s="864">
        <f t="shared" si="28"/>
        <v>0</v>
      </c>
      <c r="AE30" s="864">
        <f t="shared" si="30"/>
        <v>0</v>
      </c>
      <c r="AF30" s="864">
        <f t="shared" si="32"/>
        <v>0</v>
      </c>
      <c r="AG30" s="864">
        <f t="shared" si="34"/>
        <v>0</v>
      </c>
      <c r="AH30" s="864">
        <f t="shared" si="36"/>
        <v>0</v>
      </c>
      <c r="AI30" s="922">
        <f aca="true" t="shared" si="38" ref="AI30:AI39">AH30+AI$11</f>
        <v>0</v>
      </c>
      <c r="AJ30" s="885">
        <f>AJ$11</f>
        <v>0</v>
      </c>
      <c r="AK30" s="885">
        <f aca="true" t="shared" si="39" ref="AK30:AS30">AJ30+AK$11</f>
        <v>0</v>
      </c>
      <c r="AL30" s="885">
        <f t="shared" si="39"/>
        <v>0</v>
      </c>
      <c r="AM30" s="885">
        <f t="shared" si="39"/>
        <v>0</v>
      </c>
      <c r="AN30" s="885">
        <f t="shared" si="39"/>
        <v>0</v>
      </c>
      <c r="AO30" s="885">
        <f t="shared" si="39"/>
        <v>0</v>
      </c>
      <c r="AP30" s="885">
        <f t="shared" si="39"/>
        <v>0</v>
      </c>
      <c r="AQ30" s="885">
        <f t="shared" si="39"/>
        <v>0</v>
      </c>
      <c r="AR30" s="885">
        <f t="shared" si="39"/>
        <v>0</v>
      </c>
      <c r="AS30" s="885">
        <f t="shared" si="39"/>
        <v>0</v>
      </c>
      <c r="AT30" s="887" t="s">
        <v>436</v>
      </c>
      <c r="AU30"/>
      <c r="CB30"/>
      <c r="CC30"/>
    </row>
    <row r="31" spans="1:81" ht="12.75">
      <c r="A31" s="1074" t="s">
        <v>399</v>
      </c>
      <c r="B31" s="1078"/>
      <c r="C31" s="1076">
        <f t="shared" si="0"/>
      </c>
      <c r="D31" s="938"/>
      <c r="E31" s="888"/>
      <c r="F31" s="1074" t="s">
        <v>399</v>
      </c>
      <c r="G31" s="1079">
        <f t="shared" si="1"/>
        <v>0</v>
      </c>
      <c r="H31" s="1076">
        <f t="shared" si="2"/>
        <v>0</v>
      </c>
      <c r="I31" s="888"/>
      <c r="K31" s="893" t="s">
        <v>399</v>
      </c>
      <c r="L31" s="942">
        <f t="shared" si="3"/>
        <v>0</v>
      </c>
      <c r="M31" s="943">
        <f t="shared" si="9"/>
        <v>0</v>
      </c>
      <c r="N31" s="944">
        <f t="shared" si="4"/>
        <v>0</v>
      </c>
      <c r="O31" s="942">
        <f t="shared" si="10"/>
        <v>0</v>
      </c>
      <c r="P31" s="945">
        <f t="shared" si="5"/>
        <v>0</v>
      </c>
      <c r="Q31" s="866"/>
      <c r="R31" s="864">
        <f t="shared" si="11"/>
        <v>0</v>
      </c>
      <c r="S31" s="864">
        <f t="shared" si="6"/>
        <v>0</v>
      </c>
      <c r="T31" s="864">
        <f t="shared" si="7"/>
        <v>0</v>
      </c>
      <c r="U31" s="887" t="s">
        <v>437</v>
      </c>
      <c r="V31" s="864">
        <f t="shared" si="12"/>
        <v>0</v>
      </c>
      <c r="W31" s="864">
        <f t="shared" si="14"/>
        <v>0</v>
      </c>
      <c r="X31" s="864">
        <f t="shared" si="16"/>
        <v>0</v>
      </c>
      <c r="Y31" s="864">
        <f t="shared" si="18"/>
        <v>0</v>
      </c>
      <c r="Z31" s="864">
        <f t="shared" si="20"/>
        <v>0</v>
      </c>
      <c r="AA31" s="864">
        <f t="shared" si="22"/>
        <v>0</v>
      </c>
      <c r="AB31" s="864">
        <f t="shared" si="24"/>
        <v>0</v>
      </c>
      <c r="AC31" s="864">
        <f t="shared" si="26"/>
        <v>0</v>
      </c>
      <c r="AD31" s="864">
        <f t="shared" si="28"/>
        <v>0</v>
      </c>
      <c r="AE31" s="864">
        <f t="shared" si="30"/>
        <v>0</v>
      </c>
      <c r="AF31" s="864">
        <f t="shared" si="32"/>
        <v>0</v>
      </c>
      <c r="AG31" s="864">
        <f t="shared" si="34"/>
        <v>0</v>
      </c>
      <c r="AH31" s="864">
        <f t="shared" si="36"/>
        <v>0</v>
      </c>
      <c r="AI31" s="864">
        <f t="shared" si="38"/>
        <v>0</v>
      </c>
      <c r="AJ31" s="922">
        <f aca="true" t="shared" si="40" ref="AJ31:AJ39">AI31+AJ$11</f>
        <v>0</v>
      </c>
      <c r="AK31" s="885">
        <f>AK$11</f>
        <v>0</v>
      </c>
      <c r="AL31" s="885">
        <f aca="true" t="shared" si="41" ref="AL31:AS31">AK31+AL$11</f>
        <v>0</v>
      </c>
      <c r="AM31" s="885">
        <f t="shared" si="41"/>
        <v>0</v>
      </c>
      <c r="AN31" s="885">
        <f t="shared" si="41"/>
        <v>0</v>
      </c>
      <c r="AO31" s="885">
        <f t="shared" si="41"/>
        <v>0</v>
      </c>
      <c r="AP31" s="885">
        <f t="shared" si="41"/>
        <v>0</v>
      </c>
      <c r="AQ31" s="885">
        <f t="shared" si="41"/>
        <v>0</v>
      </c>
      <c r="AR31" s="885">
        <f t="shared" si="41"/>
        <v>0</v>
      </c>
      <c r="AS31" s="885">
        <f t="shared" si="41"/>
        <v>0</v>
      </c>
      <c r="AT31" s="887" t="s">
        <v>437</v>
      </c>
      <c r="AU31"/>
      <c r="CB31"/>
      <c r="CC31"/>
    </row>
    <row r="32" spans="1:81" ht="12.75">
      <c r="A32" s="1074" t="s">
        <v>400</v>
      </c>
      <c r="B32" s="1078"/>
      <c r="C32" s="1076">
        <f t="shared" si="0"/>
      </c>
      <c r="D32" s="938"/>
      <c r="E32" s="888"/>
      <c r="F32" s="1074" t="s">
        <v>400</v>
      </c>
      <c r="G32" s="1079">
        <f t="shared" si="1"/>
        <v>0</v>
      </c>
      <c r="H32" s="1076">
        <f t="shared" si="2"/>
        <v>0</v>
      </c>
      <c r="I32" s="888"/>
      <c r="K32" s="893" t="s">
        <v>400</v>
      </c>
      <c r="L32" s="942">
        <f t="shared" si="3"/>
        <v>0</v>
      </c>
      <c r="M32" s="943">
        <f t="shared" si="9"/>
        <v>0</v>
      </c>
      <c r="N32" s="944">
        <f t="shared" si="4"/>
        <v>0</v>
      </c>
      <c r="O32" s="942">
        <f t="shared" si="10"/>
        <v>0</v>
      </c>
      <c r="P32" s="945">
        <f t="shared" si="5"/>
        <v>0</v>
      </c>
      <c r="Q32" s="866"/>
      <c r="R32" s="864">
        <f t="shared" si="11"/>
        <v>0</v>
      </c>
      <c r="S32" s="864">
        <f t="shared" si="6"/>
        <v>0</v>
      </c>
      <c r="T32" s="864">
        <f t="shared" si="7"/>
        <v>0</v>
      </c>
      <c r="U32" s="887" t="s">
        <v>438</v>
      </c>
      <c r="V32" s="864">
        <f t="shared" si="12"/>
        <v>0</v>
      </c>
      <c r="W32" s="864">
        <f t="shared" si="14"/>
        <v>0</v>
      </c>
      <c r="X32" s="864">
        <f t="shared" si="16"/>
        <v>0</v>
      </c>
      <c r="Y32" s="864">
        <f t="shared" si="18"/>
        <v>0</v>
      </c>
      <c r="Z32" s="864">
        <f t="shared" si="20"/>
        <v>0</v>
      </c>
      <c r="AA32" s="864">
        <f t="shared" si="22"/>
        <v>0</v>
      </c>
      <c r="AB32" s="864">
        <f t="shared" si="24"/>
        <v>0</v>
      </c>
      <c r="AC32" s="864">
        <f t="shared" si="26"/>
        <v>0</v>
      </c>
      <c r="AD32" s="864">
        <f t="shared" si="28"/>
        <v>0</v>
      </c>
      <c r="AE32" s="864">
        <f t="shared" si="30"/>
        <v>0</v>
      </c>
      <c r="AF32" s="864">
        <f t="shared" si="32"/>
        <v>0</v>
      </c>
      <c r="AG32" s="864">
        <f t="shared" si="34"/>
        <v>0</v>
      </c>
      <c r="AH32" s="864">
        <f t="shared" si="36"/>
        <v>0</v>
      </c>
      <c r="AI32" s="864">
        <f t="shared" si="38"/>
        <v>0</v>
      </c>
      <c r="AJ32" s="864">
        <f t="shared" si="40"/>
        <v>0</v>
      </c>
      <c r="AK32" s="922">
        <f aca="true" t="shared" si="42" ref="AK32:AK39">AJ32+AK$11</f>
        <v>0</v>
      </c>
      <c r="AL32" s="885">
        <f>AL$11</f>
        <v>0</v>
      </c>
      <c r="AM32" s="885">
        <f aca="true" t="shared" si="43" ref="AM32:AS32">AL32+AM$11</f>
        <v>0</v>
      </c>
      <c r="AN32" s="885">
        <f t="shared" si="43"/>
        <v>0</v>
      </c>
      <c r="AO32" s="885">
        <f t="shared" si="43"/>
        <v>0</v>
      </c>
      <c r="AP32" s="885">
        <f t="shared" si="43"/>
        <v>0</v>
      </c>
      <c r="AQ32" s="885">
        <f t="shared" si="43"/>
        <v>0</v>
      </c>
      <c r="AR32" s="885">
        <f t="shared" si="43"/>
        <v>0</v>
      </c>
      <c r="AS32" s="885">
        <f t="shared" si="43"/>
        <v>0</v>
      </c>
      <c r="AT32" s="887" t="s">
        <v>438</v>
      </c>
      <c r="AU32"/>
      <c r="CB32"/>
      <c r="CC32"/>
    </row>
    <row r="33" spans="1:81" ht="12.75">
      <c r="A33" s="1074" t="s">
        <v>401</v>
      </c>
      <c r="B33" s="1078"/>
      <c r="C33" s="1076">
        <f t="shared" si="0"/>
      </c>
      <c r="D33" s="938"/>
      <c r="E33" s="888"/>
      <c r="F33" s="1074" t="s">
        <v>401</v>
      </c>
      <c r="G33" s="1079">
        <f t="shared" si="1"/>
        <v>0</v>
      </c>
      <c r="H33" s="1076">
        <f t="shared" si="2"/>
        <v>0</v>
      </c>
      <c r="I33" s="888"/>
      <c r="K33" s="893" t="s">
        <v>401</v>
      </c>
      <c r="L33" s="942">
        <f t="shared" si="3"/>
        <v>0</v>
      </c>
      <c r="M33" s="943">
        <f t="shared" si="9"/>
        <v>0</v>
      </c>
      <c r="N33" s="944">
        <f t="shared" si="4"/>
        <v>0</v>
      </c>
      <c r="O33" s="942">
        <f t="shared" si="10"/>
        <v>0</v>
      </c>
      <c r="P33" s="945">
        <f t="shared" si="5"/>
        <v>0</v>
      </c>
      <c r="Q33" s="866"/>
      <c r="R33" s="864">
        <f t="shared" si="11"/>
        <v>0</v>
      </c>
      <c r="S33" s="864">
        <f t="shared" si="6"/>
        <v>0</v>
      </c>
      <c r="T33" s="864">
        <f t="shared" si="7"/>
        <v>0</v>
      </c>
      <c r="U33" s="887" t="s">
        <v>439</v>
      </c>
      <c r="V33" s="864">
        <f t="shared" si="12"/>
        <v>0</v>
      </c>
      <c r="W33" s="864">
        <f t="shared" si="14"/>
        <v>0</v>
      </c>
      <c r="X33" s="864">
        <f t="shared" si="16"/>
        <v>0</v>
      </c>
      <c r="Y33" s="864">
        <f t="shared" si="18"/>
        <v>0</v>
      </c>
      <c r="Z33" s="864">
        <f t="shared" si="20"/>
        <v>0</v>
      </c>
      <c r="AA33" s="864">
        <f t="shared" si="22"/>
        <v>0</v>
      </c>
      <c r="AB33" s="864">
        <f t="shared" si="24"/>
        <v>0</v>
      </c>
      <c r="AC33" s="864">
        <f t="shared" si="26"/>
        <v>0</v>
      </c>
      <c r="AD33" s="864">
        <f t="shared" si="28"/>
        <v>0</v>
      </c>
      <c r="AE33" s="864">
        <f t="shared" si="30"/>
        <v>0</v>
      </c>
      <c r="AF33" s="864">
        <f t="shared" si="32"/>
        <v>0</v>
      </c>
      <c r="AG33" s="864">
        <f t="shared" si="34"/>
        <v>0</v>
      </c>
      <c r="AH33" s="864">
        <f t="shared" si="36"/>
        <v>0</v>
      </c>
      <c r="AI33" s="864">
        <f t="shared" si="38"/>
        <v>0</v>
      </c>
      <c r="AJ33" s="864">
        <f t="shared" si="40"/>
        <v>0</v>
      </c>
      <c r="AK33" s="864">
        <f t="shared" si="42"/>
        <v>0</v>
      </c>
      <c r="AL33" s="922">
        <f aca="true" t="shared" si="44" ref="AL33:AL39">AK33+AL$11</f>
        <v>0</v>
      </c>
      <c r="AM33" s="885">
        <f>AM$11</f>
        <v>0</v>
      </c>
      <c r="AN33" s="885">
        <f aca="true" t="shared" si="45" ref="AN33:AS33">AM33+AN$11</f>
        <v>0</v>
      </c>
      <c r="AO33" s="885">
        <f t="shared" si="45"/>
        <v>0</v>
      </c>
      <c r="AP33" s="885">
        <f t="shared" si="45"/>
        <v>0</v>
      </c>
      <c r="AQ33" s="885">
        <f t="shared" si="45"/>
        <v>0</v>
      </c>
      <c r="AR33" s="885">
        <f t="shared" si="45"/>
        <v>0</v>
      </c>
      <c r="AS33" s="885">
        <f t="shared" si="45"/>
        <v>0</v>
      </c>
      <c r="AT33" s="887" t="s">
        <v>439</v>
      </c>
      <c r="AU33"/>
      <c r="CB33"/>
      <c r="CC33"/>
    </row>
    <row r="34" spans="1:81" ht="12.75">
      <c r="A34" s="1074" t="s">
        <v>402</v>
      </c>
      <c r="B34" s="1078"/>
      <c r="C34" s="1076">
        <f t="shared" si="0"/>
      </c>
      <c r="D34" s="938"/>
      <c r="E34" s="907"/>
      <c r="F34" s="1074" t="s">
        <v>402</v>
      </c>
      <c r="G34" s="1079">
        <f t="shared" si="1"/>
        <v>0</v>
      </c>
      <c r="H34" s="1076">
        <f t="shared" si="2"/>
        <v>0</v>
      </c>
      <c r="I34" s="907"/>
      <c r="K34" s="893" t="s">
        <v>402</v>
      </c>
      <c r="L34" s="942">
        <f t="shared" si="3"/>
        <v>0</v>
      </c>
      <c r="M34" s="943">
        <f t="shared" si="9"/>
        <v>0</v>
      </c>
      <c r="N34" s="944">
        <f t="shared" si="4"/>
        <v>0</v>
      </c>
      <c r="O34" s="942">
        <f t="shared" si="10"/>
        <v>0</v>
      </c>
      <c r="P34" s="945">
        <f t="shared" si="5"/>
        <v>0</v>
      </c>
      <c r="Q34" s="866"/>
      <c r="R34" s="864">
        <f t="shared" si="11"/>
        <v>0</v>
      </c>
      <c r="S34" s="864">
        <f t="shared" si="6"/>
        <v>0</v>
      </c>
      <c r="T34" s="864">
        <f t="shared" si="7"/>
        <v>0</v>
      </c>
      <c r="U34" s="887" t="s">
        <v>440</v>
      </c>
      <c r="V34" s="864">
        <f t="shared" si="12"/>
        <v>0</v>
      </c>
      <c r="W34" s="864">
        <f t="shared" si="14"/>
        <v>0</v>
      </c>
      <c r="X34" s="864">
        <f t="shared" si="16"/>
        <v>0</v>
      </c>
      <c r="Y34" s="864">
        <f t="shared" si="18"/>
        <v>0</v>
      </c>
      <c r="Z34" s="864">
        <f t="shared" si="20"/>
        <v>0</v>
      </c>
      <c r="AA34" s="864">
        <f t="shared" si="22"/>
        <v>0</v>
      </c>
      <c r="AB34" s="864">
        <f t="shared" si="24"/>
        <v>0</v>
      </c>
      <c r="AC34" s="864">
        <f t="shared" si="26"/>
        <v>0</v>
      </c>
      <c r="AD34" s="864">
        <f t="shared" si="28"/>
        <v>0</v>
      </c>
      <c r="AE34" s="864">
        <f t="shared" si="30"/>
        <v>0</v>
      </c>
      <c r="AF34" s="864">
        <f t="shared" si="32"/>
        <v>0</v>
      </c>
      <c r="AG34" s="864">
        <f t="shared" si="34"/>
        <v>0</v>
      </c>
      <c r="AH34" s="864">
        <f t="shared" si="36"/>
        <v>0</v>
      </c>
      <c r="AI34" s="864">
        <f t="shared" si="38"/>
        <v>0</v>
      </c>
      <c r="AJ34" s="864">
        <f t="shared" si="40"/>
        <v>0</v>
      </c>
      <c r="AK34" s="864">
        <f t="shared" si="42"/>
        <v>0</v>
      </c>
      <c r="AL34" s="864">
        <f t="shared" si="44"/>
        <v>0</v>
      </c>
      <c r="AM34" s="922">
        <f aca="true" t="shared" si="46" ref="AM34:AM39">AL34+AM$11</f>
        <v>0</v>
      </c>
      <c r="AN34" s="885">
        <f>AN$11</f>
        <v>0</v>
      </c>
      <c r="AO34" s="885">
        <f>AN34+AO$11</f>
        <v>0</v>
      </c>
      <c r="AP34" s="885">
        <f>AO34+AP$11</f>
        <v>0</v>
      </c>
      <c r="AQ34" s="885">
        <f>AP34+AQ$11</f>
        <v>0</v>
      </c>
      <c r="AR34" s="885">
        <f>AQ34+AR$11</f>
        <v>0</v>
      </c>
      <c r="AS34" s="885">
        <f>AR34+AS$11</f>
        <v>0</v>
      </c>
      <c r="AT34" s="887" t="s">
        <v>440</v>
      </c>
      <c r="AU34"/>
      <c r="CB34"/>
      <c r="CC34"/>
    </row>
    <row r="35" spans="1:81" ht="12.75">
      <c r="A35" s="1074" t="s">
        <v>403</v>
      </c>
      <c r="B35" s="1078"/>
      <c r="C35" s="1076">
        <f t="shared" si="0"/>
      </c>
      <c r="D35" s="938"/>
      <c r="E35" s="888"/>
      <c r="F35" s="1074" t="s">
        <v>403</v>
      </c>
      <c r="G35" s="1079">
        <f t="shared" si="1"/>
        <v>0</v>
      </c>
      <c r="H35" s="1076">
        <f t="shared" si="2"/>
        <v>0</v>
      </c>
      <c r="I35" s="888"/>
      <c r="K35" s="893" t="s">
        <v>403</v>
      </c>
      <c r="L35" s="942">
        <f t="shared" si="3"/>
        <v>0</v>
      </c>
      <c r="M35" s="943">
        <f t="shared" si="9"/>
        <v>0</v>
      </c>
      <c r="N35" s="944">
        <f t="shared" si="4"/>
        <v>0</v>
      </c>
      <c r="O35" s="942">
        <f t="shared" si="10"/>
        <v>0</v>
      </c>
      <c r="P35" s="945">
        <f t="shared" si="5"/>
        <v>0</v>
      </c>
      <c r="Q35" s="866"/>
      <c r="R35" s="864">
        <f t="shared" si="11"/>
        <v>0</v>
      </c>
      <c r="S35" s="864">
        <f t="shared" si="6"/>
        <v>0</v>
      </c>
      <c r="T35" s="864">
        <f t="shared" si="7"/>
        <v>0</v>
      </c>
      <c r="U35" s="887" t="s">
        <v>441</v>
      </c>
      <c r="V35" s="864">
        <f t="shared" si="12"/>
        <v>0</v>
      </c>
      <c r="W35" s="864">
        <f t="shared" si="14"/>
        <v>0</v>
      </c>
      <c r="X35" s="864">
        <f t="shared" si="16"/>
        <v>0</v>
      </c>
      <c r="Y35" s="864">
        <f t="shared" si="18"/>
        <v>0</v>
      </c>
      <c r="Z35" s="864">
        <f t="shared" si="20"/>
        <v>0</v>
      </c>
      <c r="AA35" s="864">
        <f t="shared" si="22"/>
        <v>0</v>
      </c>
      <c r="AB35" s="864">
        <f t="shared" si="24"/>
        <v>0</v>
      </c>
      <c r="AC35" s="864">
        <f t="shared" si="26"/>
        <v>0</v>
      </c>
      <c r="AD35" s="864">
        <f t="shared" si="28"/>
        <v>0</v>
      </c>
      <c r="AE35" s="864">
        <f t="shared" si="30"/>
        <v>0</v>
      </c>
      <c r="AF35" s="864">
        <f t="shared" si="32"/>
        <v>0</v>
      </c>
      <c r="AG35" s="864">
        <f t="shared" si="34"/>
        <v>0</v>
      </c>
      <c r="AH35" s="864">
        <f t="shared" si="36"/>
        <v>0</v>
      </c>
      <c r="AI35" s="864">
        <f t="shared" si="38"/>
        <v>0</v>
      </c>
      <c r="AJ35" s="864">
        <f t="shared" si="40"/>
        <v>0</v>
      </c>
      <c r="AK35" s="864">
        <f t="shared" si="42"/>
        <v>0</v>
      </c>
      <c r="AL35" s="864">
        <f t="shared" si="44"/>
        <v>0</v>
      </c>
      <c r="AM35" s="864">
        <f t="shared" si="46"/>
        <v>0</v>
      </c>
      <c r="AN35" s="922">
        <f>AM35+AN$11</f>
        <v>0</v>
      </c>
      <c r="AO35" s="885">
        <f>AO$11</f>
        <v>0</v>
      </c>
      <c r="AP35" s="885">
        <f>AO35+AP$11</f>
        <v>0</v>
      </c>
      <c r="AQ35" s="885">
        <f>AP35+AQ$11</f>
        <v>0</v>
      </c>
      <c r="AR35" s="885">
        <f>AQ35+AR$11</f>
        <v>0</v>
      </c>
      <c r="AS35" s="885">
        <f>AR35+AS$11</f>
        <v>0</v>
      </c>
      <c r="AT35" s="887" t="s">
        <v>441</v>
      </c>
      <c r="AU35"/>
      <c r="CB35"/>
      <c r="CC35"/>
    </row>
    <row r="36" spans="1:81" ht="12.75">
      <c r="A36" s="1074" t="s">
        <v>404</v>
      </c>
      <c r="B36" s="1078"/>
      <c r="C36" s="1076">
        <f t="shared" si="0"/>
      </c>
      <c r="D36" s="938"/>
      <c r="E36" s="888"/>
      <c r="F36" s="1074" t="s">
        <v>404</v>
      </c>
      <c r="G36" s="1079">
        <f t="shared" si="1"/>
        <v>0</v>
      </c>
      <c r="H36" s="1076">
        <f t="shared" si="2"/>
        <v>0</v>
      </c>
      <c r="I36" s="888"/>
      <c r="K36" s="893" t="s">
        <v>404</v>
      </c>
      <c r="L36" s="942">
        <f t="shared" si="3"/>
        <v>0</v>
      </c>
      <c r="M36" s="943">
        <f t="shared" si="9"/>
        <v>0</v>
      </c>
      <c r="N36" s="944">
        <f t="shared" si="4"/>
        <v>0</v>
      </c>
      <c r="O36" s="942">
        <f t="shared" si="10"/>
        <v>0</v>
      </c>
      <c r="P36" s="945">
        <f t="shared" si="5"/>
        <v>0</v>
      </c>
      <c r="Q36" s="866"/>
      <c r="R36" s="864">
        <f t="shared" si="11"/>
        <v>0</v>
      </c>
      <c r="S36" s="864">
        <f t="shared" si="6"/>
        <v>0</v>
      </c>
      <c r="T36" s="864">
        <f t="shared" si="7"/>
        <v>0</v>
      </c>
      <c r="U36" s="887" t="s">
        <v>442</v>
      </c>
      <c r="V36" s="864">
        <f t="shared" si="12"/>
        <v>0</v>
      </c>
      <c r="W36" s="864">
        <f t="shared" si="14"/>
        <v>0</v>
      </c>
      <c r="X36" s="864">
        <f t="shared" si="16"/>
        <v>0</v>
      </c>
      <c r="Y36" s="864">
        <f t="shared" si="18"/>
        <v>0</v>
      </c>
      <c r="Z36" s="864">
        <f t="shared" si="20"/>
        <v>0</v>
      </c>
      <c r="AA36" s="864">
        <f t="shared" si="22"/>
        <v>0</v>
      </c>
      <c r="AB36" s="864">
        <f t="shared" si="24"/>
        <v>0</v>
      </c>
      <c r="AC36" s="864">
        <f t="shared" si="26"/>
        <v>0</v>
      </c>
      <c r="AD36" s="864">
        <f t="shared" si="28"/>
        <v>0</v>
      </c>
      <c r="AE36" s="864">
        <f t="shared" si="30"/>
        <v>0</v>
      </c>
      <c r="AF36" s="864">
        <f t="shared" si="32"/>
        <v>0</v>
      </c>
      <c r="AG36" s="864">
        <f t="shared" si="34"/>
        <v>0</v>
      </c>
      <c r="AH36" s="864">
        <f t="shared" si="36"/>
        <v>0</v>
      </c>
      <c r="AI36" s="864">
        <f t="shared" si="38"/>
        <v>0</v>
      </c>
      <c r="AJ36" s="864">
        <f t="shared" si="40"/>
        <v>0</v>
      </c>
      <c r="AK36" s="864">
        <f t="shared" si="42"/>
        <v>0</v>
      </c>
      <c r="AL36" s="864">
        <f t="shared" si="44"/>
        <v>0</v>
      </c>
      <c r="AM36" s="864">
        <f t="shared" si="46"/>
        <v>0</v>
      </c>
      <c r="AN36" s="864">
        <f>AM36+AN$11</f>
        <v>0</v>
      </c>
      <c r="AO36" s="922">
        <f>AN36+AO$11</f>
        <v>0</v>
      </c>
      <c r="AP36" s="885">
        <f>AP$11</f>
        <v>0</v>
      </c>
      <c r="AQ36" s="885">
        <f>AP36+AQ$11</f>
        <v>0</v>
      </c>
      <c r="AR36" s="885">
        <f>AQ36+AR$11</f>
        <v>0</v>
      </c>
      <c r="AS36" s="885">
        <f>AR36+AS$11</f>
        <v>0</v>
      </c>
      <c r="AT36" s="887" t="s">
        <v>442</v>
      </c>
      <c r="AU36"/>
      <c r="CB36"/>
      <c r="CC36"/>
    </row>
    <row r="37" spans="1:81" ht="12.75">
      <c r="A37" s="1074" t="s">
        <v>405</v>
      </c>
      <c r="B37" s="1078"/>
      <c r="C37" s="1076">
        <f t="shared" si="0"/>
      </c>
      <c r="D37" s="938"/>
      <c r="E37" s="888"/>
      <c r="F37" s="1074" t="s">
        <v>405</v>
      </c>
      <c r="G37" s="1079">
        <f t="shared" si="1"/>
        <v>0</v>
      </c>
      <c r="H37" s="1076">
        <f t="shared" si="2"/>
        <v>0</v>
      </c>
      <c r="I37" s="888"/>
      <c r="K37" s="893" t="s">
        <v>405</v>
      </c>
      <c r="L37" s="942">
        <f t="shared" si="3"/>
        <v>0</v>
      </c>
      <c r="M37" s="943">
        <f t="shared" si="9"/>
        <v>0</v>
      </c>
      <c r="N37" s="944">
        <f t="shared" si="4"/>
        <v>0</v>
      </c>
      <c r="O37" s="942">
        <f t="shared" si="10"/>
        <v>0</v>
      </c>
      <c r="P37" s="945">
        <f t="shared" si="5"/>
        <v>0</v>
      </c>
      <c r="Q37" s="866"/>
      <c r="R37" s="864">
        <f t="shared" si="11"/>
        <v>0</v>
      </c>
      <c r="S37" s="864">
        <f t="shared" si="6"/>
        <v>0</v>
      </c>
      <c r="T37" s="864">
        <f t="shared" si="7"/>
        <v>0</v>
      </c>
      <c r="U37" s="887" t="s">
        <v>443</v>
      </c>
      <c r="V37" s="864">
        <f t="shared" si="12"/>
        <v>0</v>
      </c>
      <c r="W37" s="864">
        <f t="shared" si="14"/>
        <v>0</v>
      </c>
      <c r="X37" s="864">
        <f t="shared" si="16"/>
        <v>0</v>
      </c>
      <c r="Y37" s="864">
        <f t="shared" si="18"/>
        <v>0</v>
      </c>
      <c r="Z37" s="864">
        <f t="shared" si="20"/>
        <v>0</v>
      </c>
      <c r="AA37" s="864">
        <f t="shared" si="22"/>
        <v>0</v>
      </c>
      <c r="AB37" s="864">
        <f t="shared" si="24"/>
        <v>0</v>
      </c>
      <c r="AC37" s="864">
        <f t="shared" si="26"/>
        <v>0</v>
      </c>
      <c r="AD37" s="864">
        <f t="shared" si="28"/>
        <v>0</v>
      </c>
      <c r="AE37" s="864">
        <f t="shared" si="30"/>
        <v>0</v>
      </c>
      <c r="AF37" s="864">
        <f t="shared" si="32"/>
        <v>0</v>
      </c>
      <c r="AG37" s="864">
        <f t="shared" si="34"/>
        <v>0</v>
      </c>
      <c r="AH37" s="864">
        <f t="shared" si="36"/>
        <v>0</v>
      </c>
      <c r="AI37" s="864">
        <f t="shared" si="38"/>
        <v>0</v>
      </c>
      <c r="AJ37" s="864">
        <f t="shared" si="40"/>
        <v>0</v>
      </c>
      <c r="AK37" s="864">
        <f t="shared" si="42"/>
        <v>0</v>
      </c>
      <c r="AL37" s="864">
        <f t="shared" si="44"/>
        <v>0</v>
      </c>
      <c r="AM37" s="864">
        <f t="shared" si="46"/>
        <v>0</v>
      </c>
      <c r="AN37" s="864">
        <f>AM37+AN$11</f>
        <v>0</v>
      </c>
      <c r="AO37" s="864">
        <f>AN37+AO$11</f>
        <v>0</v>
      </c>
      <c r="AP37" s="922">
        <f>AO37+AP$11</f>
        <v>0</v>
      </c>
      <c r="AQ37" s="885">
        <f>AQ$11</f>
        <v>0</v>
      </c>
      <c r="AR37" s="885">
        <f>AQ37+AR$11</f>
        <v>0</v>
      </c>
      <c r="AS37" s="885">
        <f>AR37+AS$11</f>
        <v>0</v>
      </c>
      <c r="AT37" s="887" t="s">
        <v>443</v>
      </c>
      <c r="AU37"/>
      <c r="CB37"/>
      <c r="CC37"/>
    </row>
    <row r="38" spans="1:81" ht="12.75">
      <c r="A38" s="1074" t="s">
        <v>406</v>
      </c>
      <c r="B38" s="1078"/>
      <c r="C38" s="1076">
        <f t="shared" si="0"/>
      </c>
      <c r="D38" s="938"/>
      <c r="E38" s="888"/>
      <c r="F38" s="1074" t="s">
        <v>406</v>
      </c>
      <c r="G38" s="1079">
        <f t="shared" si="1"/>
        <v>0</v>
      </c>
      <c r="H38" s="1076">
        <f t="shared" si="2"/>
        <v>0</v>
      </c>
      <c r="I38" s="888"/>
      <c r="K38" s="893" t="s">
        <v>406</v>
      </c>
      <c r="L38" s="942">
        <f t="shared" si="3"/>
        <v>0</v>
      </c>
      <c r="M38" s="943">
        <f t="shared" si="9"/>
        <v>0</v>
      </c>
      <c r="N38" s="944">
        <f t="shared" si="4"/>
        <v>0</v>
      </c>
      <c r="O38" s="942">
        <f t="shared" si="10"/>
        <v>0</v>
      </c>
      <c r="P38" s="945">
        <f t="shared" si="5"/>
        <v>0</v>
      </c>
      <c r="Q38" s="866"/>
      <c r="R38" s="864">
        <f t="shared" si="11"/>
        <v>0</v>
      </c>
      <c r="S38" s="864">
        <f t="shared" si="6"/>
        <v>0</v>
      </c>
      <c r="T38" s="864">
        <f t="shared" si="7"/>
        <v>0</v>
      </c>
      <c r="U38" s="887" t="s">
        <v>444</v>
      </c>
      <c r="V38" s="864">
        <f t="shared" si="12"/>
        <v>0</v>
      </c>
      <c r="W38" s="864">
        <f t="shared" si="14"/>
        <v>0</v>
      </c>
      <c r="X38" s="864">
        <f t="shared" si="16"/>
        <v>0</v>
      </c>
      <c r="Y38" s="864">
        <f t="shared" si="18"/>
        <v>0</v>
      </c>
      <c r="Z38" s="864">
        <f t="shared" si="20"/>
        <v>0</v>
      </c>
      <c r="AA38" s="864">
        <f t="shared" si="22"/>
        <v>0</v>
      </c>
      <c r="AB38" s="864">
        <f t="shared" si="24"/>
        <v>0</v>
      </c>
      <c r="AC38" s="864">
        <f t="shared" si="26"/>
        <v>0</v>
      </c>
      <c r="AD38" s="864">
        <f t="shared" si="28"/>
        <v>0</v>
      </c>
      <c r="AE38" s="864">
        <f t="shared" si="30"/>
        <v>0</v>
      </c>
      <c r="AF38" s="864">
        <f t="shared" si="32"/>
        <v>0</v>
      </c>
      <c r="AG38" s="864">
        <f t="shared" si="34"/>
        <v>0</v>
      </c>
      <c r="AH38" s="864">
        <f t="shared" si="36"/>
        <v>0</v>
      </c>
      <c r="AI38" s="864">
        <f t="shared" si="38"/>
        <v>0</v>
      </c>
      <c r="AJ38" s="864">
        <f t="shared" si="40"/>
        <v>0</v>
      </c>
      <c r="AK38" s="864">
        <f t="shared" si="42"/>
        <v>0</v>
      </c>
      <c r="AL38" s="864">
        <f t="shared" si="44"/>
        <v>0</v>
      </c>
      <c r="AM38" s="864">
        <f t="shared" si="46"/>
        <v>0</v>
      </c>
      <c r="AN38" s="864">
        <f>AM38+AN$11</f>
        <v>0</v>
      </c>
      <c r="AO38" s="864">
        <f>AN38+AO$11</f>
        <v>0</v>
      </c>
      <c r="AP38" s="864">
        <f>AO38+AP$11</f>
        <v>0</v>
      </c>
      <c r="AQ38" s="922">
        <f>AP38+AQ$11</f>
        <v>0</v>
      </c>
      <c r="AR38" s="885">
        <f>AR$11</f>
        <v>0</v>
      </c>
      <c r="AS38" s="885">
        <f>AR38+AS$11</f>
        <v>0</v>
      </c>
      <c r="AT38" s="887" t="s">
        <v>444</v>
      </c>
      <c r="AU38"/>
      <c r="AZ38" s="1080"/>
      <c r="CB38"/>
      <c r="CC38"/>
    </row>
    <row r="39" spans="1:81" ht="13.5" thickBot="1">
      <c r="A39" s="1081" t="s">
        <v>407</v>
      </c>
      <c r="B39" s="1082"/>
      <c r="C39" s="1083">
        <f t="shared" si="0"/>
      </c>
      <c r="D39" s="91"/>
      <c r="E39" s="888"/>
      <c r="F39" s="1084" t="s">
        <v>407</v>
      </c>
      <c r="G39" s="1085">
        <f t="shared" si="1"/>
        <v>0</v>
      </c>
      <c r="H39" s="1083">
        <f t="shared" si="2"/>
        <v>0</v>
      </c>
      <c r="I39" s="888"/>
      <c r="K39" s="908" t="s">
        <v>407</v>
      </c>
      <c r="L39" s="946">
        <f t="shared" si="3"/>
        <v>0</v>
      </c>
      <c r="M39" s="947">
        <f t="shared" si="9"/>
        <v>0</v>
      </c>
      <c r="N39" s="948">
        <f t="shared" si="4"/>
        <v>0</v>
      </c>
      <c r="O39" s="946">
        <f t="shared" si="10"/>
        <v>0</v>
      </c>
      <c r="P39" s="949">
        <f t="shared" si="5"/>
        <v>0</v>
      </c>
      <c r="Q39" s="866"/>
      <c r="R39" s="864">
        <f t="shared" si="11"/>
        <v>0</v>
      </c>
      <c r="S39" s="864">
        <f t="shared" si="6"/>
        <v>0</v>
      </c>
      <c r="T39" s="864">
        <f t="shared" si="7"/>
        <v>0</v>
      </c>
      <c r="U39" s="887" t="s">
        <v>445</v>
      </c>
      <c r="V39" s="864">
        <f t="shared" si="12"/>
        <v>0</v>
      </c>
      <c r="W39" s="864">
        <f t="shared" si="14"/>
        <v>0</v>
      </c>
      <c r="X39" s="864">
        <f t="shared" si="16"/>
        <v>0</v>
      </c>
      <c r="Y39" s="864">
        <f t="shared" si="18"/>
        <v>0</v>
      </c>
      <c r="Z39" s="864">
        <f t="shared" si="20"/>
        <v>0</v>
      </c>
      <c r="AA39" s="864">
        <f t="shared" si="22"/>
        <v>0</v>
      </c>
      <c r="AB39" s="864">
        <f t="shared" si="24"/>
        <v>0</v>
      </c>
      <c r="AC39" s="864">
        <f t="shared" si="26"/>
        <v>0</v>
      </c>
      <c r="AD39" s="864">
        <f t="shared" si="28"/>
        <v>0</v>
      </c>
      <c r="AE39" s="864">
        <f t="shared" si="30"/>
        <v>0</v>
      </c>
      <c r="AF39" s="864">
        <f t="shared" si="32"/>
        <v>0</v>
      </c>
      <c r="AG39" s="864">
        <f t="shared" si="34"/>
        <v>0</v>
      </c>
      <c r="AH39" s="864">
        <f t="shared" si="36"/>
        <v>0</v>
      </c>
      <c r="AI39" s="864">
        <f t="shared" si="38"/>
        <v>0</v>
      </c>
      <c r="AJ39" s="864">
        <f t="shared" si="40"/>
        <v>0</v>
      </c>
      <c r="AK39" s="864">
        <f t="shared" si="42"/>
        <v>0</v>
      </c>
      <c r="AL39" s="864">
        <f t="shared" si="44"/>
        <v>0</v>
      </c>
      <c r="AM39" s="864">
        <f t="shared" si="46"/>
        <v>0</v>
      </c>
      <c r="AN39" s="864">
        <f>AM39+AN$11</f>
        <v>0</v>
      </c>
      <c r="AO39" s="864">
        <f>AN39+AO$11</f>
        <v>0</v>
      </c>
      <c r="AP39" s="864">
        <f>AO39+AP$11</f>
        <v>0</v>
      </c>
      <c r="AQ39" s="864">
        <f>AP39+AQ$11</f>
        <v>0</v>
      </c>
      <c r="AR39" s="886">
        <f>AQ39+AR$11</f>
        <v>0</v>
      </c>
      <c r="AS39" s="885">
        <f>AS$11</f>
        <v>0</v>
      </c>
      <c r="AT39" s="887" t="s">
        <v>445</v>
      </c>
      <c r="AU39"/>
      <c r="AZ39" s="1080"/>
      <c r="CB39"/>
      <c r="CC39"/>
    </row>
    <row r="40" spans="1:81" ht="13.5" thickBot="1">
      <c r="A40" s="933" t="s">
        <v>447</v>
      </c>
      <c r="B40" s="1086">
        <f>IF(SUM(B16:B39)=0,"",SUM(B16:B39))</f>
      </c>
      <c r="D40" s="91"/>
      <c r="E40" s="888"/>
      <c r="F40" s="933" t="s">
        <v>447</v>
      </c>
      <c r="G40" s="1087">
        <f>IF(SUM(G16:G39)=0,"",SUM(G16:G39))</f>
      </c>
      <c r="I40" s="888"/>
      <c r="K40" s="896" t="s">
        <v>447</v>
      </c>
      <c r="L40" s="897">
        <f>SUM(L16:L39)</f>
        <v>0</v>
      </c>
      <c r="M40" s="888"/>
      <c r="N40" s="894"/>
      <c r="O40" s="894"/>
      <c r="P40" s="894"/>
      <c r="Q40" s="866"/>
      <c r="R40" s="868" t="str">
        <f>IF($N$14="","","+ :"&amp;TEXT($N$14,0))</f>
        <v>+ :15</v>
      </c>
      <c r="S40" s="868" t="str">
        <f>IF($N$14&gt;29,"","+ :"&amp;TEXT($N$14*2,0))</f>
        <v>+ :30</v>
      </c>
      <c r="T40" s="868" t="str">
        <f>IF($N$14&gt;19,"","+ :"&amp;TEXT($N$14*3,0))</f>
        <v>+ :45</v>
      </c>
      <c r="V40" s="882" t="s">
        <v>424</v>
      </c>
      <c r="W40" s="882" t="s">
        <v>425</v>
      </c>
      <c r="X40" s="882" t="s">
        <v>426</v>
      </c>
      <c r="Y40" s="882" t="s">
        <v>427</v>
      </c>
      <c r="Z40" s="882" t="s">
        <v>428</v>
      </c>
      <c r="AA40" s="882" t="s">
        <v>429</v>
      </c>
      <c r="AB40" s="882" t="s">
        <v>382</v>
      </c>
      <c r="AC40" s="882" t="s">
        <v>430</v>
      </c>
      <c r="AD40" s="882" t="s">
        <v>431</v>
      </c>
      <c r="AE40" s="882" t="s">
        <v>432</v>
      </c>
      <c r="AF40" s="883" t="s">
        <v>433</v>
      </c>
      <c r="AG40" s="883" t="s">
        <v>434</v>
      </c>
      <c r="AH40" s="883" t="s">
        <v>435</v>
      </c>
      <c r="AI40" s="883" t="s">
        <v>436</v>
      </c>
      <c r="AJ40" s="883" t="s">
        <v>437</v>
      </c>
      <c r="AK40" s="883" t="s">
        <v>438</v>
      </c>
      <c r="AL40" s="883" t="s">
        <v>439</v>
      </c>
      <c r="AM40" s="883" t="s">
        <v>440</v>
      </c>
      <c r="AN40" s="883" t="s">
        <v>441</v>
      </c>
      <c r="AO40" s="883" t="s">
        <v>442</v>
      </c>
      <c r="AP40" s="883" t="s">
        <v>443</v>
      </c>
      <c r="AQ40" s="883" t="s">
        <v>444</v>
      </c>
      <c r="AR40" s="883" t="s">
        <v>445</v>
      </c>
      <c r="AS40" s="884" t="s">
        <v>446</v>
      </c>
      <c r="AT40"/>
      <c r="AU40"/>
      <c r="AZ40" s="1088"/>
      <c r="BA40" s="6"/>
      <c r="CB40"/>
      <c r="CC40"/>
    </row>
    <row r="41" spans="4:81" ht="12.75">
      <c r="D41" s="91"/>
      <c r="E41" s="888"/>
      <c r="I41" s="888"/>
      <c r="O41" s="866"/>
      <c r="P41" s="866"/>
      <c r="Q41" s="866"/>
      <c r="R41" s="875">
        <f>IF(OR($C$15="",$C$15=15,$C$15=20,$C$15=30),"","Fraction=NG")</f>
      </c>
      <c r="S41" s="881"/>
      <c r="T41" s="904" t="s">
        <v>455</v>
      </c>
      <c r="U41" s="884" t="str">
        <f>IF($N$14="","","+ :"&amp;TEXT($N$14,0))</f>
        <v>+ :15</v>
      </c>
      <c r="V41" s="885">
        <f aca="true" t="shared" si="47" ref="V41:AR41">W8</f>
        <v>0</v>
      </c>
      <c r="W41" s="885">
        <f t="shared" si="47"/>
        <v>0</v>
      </c>
      <c r="X41" s="885">
        <f t="shared" si="47"/>
        <v>0</v>
      </c>
      <c r="Y41" s="885">
        <f t="shared" si="47"/>
        <v>0</v>
      </c>
      <c r="Z41" s="885">
        <f t="shared" si="47"/>
        <v>0</v>
      </c>
      <c r="AA41" s="885">
        <f t="shared" si="47"/>
        <v>0</v>
      </c>
      <c r="AB41" s="885">
        <f t="shared" si="47"/>
        <v>0</v>
      </c>
      <c r="AC41" s="885">
        <f t="shared" si="47"/>
        <v>0</v>
      </c>
      <c r="AD41" s="885">
        <f t="shared" si="47"/>
        <v>0</v>
      </c>
      <c r="AE41" s="885">
        <f t="shared" si="47"/>
        <v>0</v>
      </c>
      <c r="AF41" s="885">
        <f t="shared" si="47"/>
        <v>0</v>
      </c>
      <c r="AG41" s="885">
        <f t="shared" si="47"/>
        <v>0</v>
      </c>
      <c r="AH41" s="885">
        <f t="shared" si="47"/>
        <v>0</v>
      </c>
      <c r="AI41" s="885">
        <f t="shared" si="47"/>
        <v>0</v>
      </c>
      <c r="AJ41" s="885">
        <f t="shared" si="47"/>
        <v>0</v>
      </c>
      <c r="AK41" s="885">
        <f t="shared" si="47"/>
        <v>0</v>
      </c>
      <c r="AL41" s="885">
        <f t="shared" si="47"/>
        <v>0</v>
      </c>
      <c r="AM41" s="885">
        <f t="shared" si="47"/>
        <v>0</v>
      </c>
      <c r="AN41" s="885">
        <f t="shared" si="47"/>
        <v>0</v>
      </c>
      <c r="AO41" s="885">
        <f t="shared" si="47"/>
        <v>0</v>
      </c>
      <c r="AP41" s="885">
        <f t="shared" si="47"/>
        <v>0</v>
      </c>
      <c r="AQ41" s="885">
        <f t="shared" si="47"/>
        <v>0</v>
      </c>
      <c r="AR41" s="885">
        <f t="shared" si="47"/>
        <v>0</v>
      </c>
      <c r="AS41" s="885">
        <f>V8</f>
        <v>0</v>
      </c>
      <c r="AT41" s="884" t="str">
        <f>IF($N$14="","","+ :"&amp;TEXT($N$14,0))</f>
        <v>+ :15</v>
      </c>
      <c r="AU41"/>
      <c r="AZ41" s="1088"/>
      <c r="BA41" s="6"/>
      <c r="CB41"/>
      <c r="CC41"/>
    </row>
    <row r="42" spans="4:81" ht="12.75">
      <c r="D42" s="91"/>
      <c r="E42" s="888"/>
      <c r="I42" s="888"/>
      <c r="L42" s="889" t="s">
        <v>448</v>
      </c>
      <c r="M42" s="73"/>
      <c r="R42" s="881"/>
      <c r="S42" s="881"/>
      <c r="T42" s="904" t="s">
        <v>512</v>
      </c>
      <c r="U42" s="884" t="str">
        <f>IF($N$14&gt;29,"","+ :"&amp;TEXT($N$14*2,0))</f>
        <v>+ :30</v>
      </c>
      <c r="V42" s="885">
        <f aca="true" t="shared" si="48" ref="V42:AS42">IF($N$14&gt;29,"",V41*2)</f>
        <v>0</v>
      </c>
      <c r="W42" s="885">
        <f t="shared" si="48"/>
        <v>0</v>
      </c>
      <c r="X42" s="885">
        <f t="shared" si="48"/>
        <v>0</v>
      </c>
      <c r="Y42" s="885">
        <f t="shared" si="48"/>
        <v>0</v>
      </c>
      <c r="Z42" s="885">
        <f t="shared" si="48"/>
        <v>0</v>
      </c>
      <c r="AA42" s="885">
        <f t="shared" si="48"/>
        <v>0</v>
      </c>
      <c r="AB42" s="885">
        <f t="shared" si="48"/>
        <v>0</v>
      </c>
      <c r="AC42" s="885">
        <f t="shared" si="48"/>
        <v>0</v>
      </c>
      <c r="AD42" s="885">
        <f t="shared" si="48"/>
        <v>0</v>
      </c>
      <c r="AE42" s="885">
        <f t="shared" si="48"/>
        <v>0</v>
      </c>
      <c r="AF42" s="885">
        <f t="shared" si="48"/>
        <v>0</v>
      </c>
      <c r="AG42" s="885">
        <f t="shared" si="48"/>
        <v>0</v>
      </c>
      <c r="AH42" s="885">
        <f t="shared" si="48"/>
        <v>0</v>
      </c>
      <c r="AI42" s="885">
        <f t="shared" si="48"/>
        <v>0</v>
      </c>
      <c r="AJ42" s="885">
        <f t="shared" si="48"/>
        <v>0</v>
      </c>
      <c r="AK42" s="885">
        <f t="shared" si="48"/>
        <v>0</v>
      </c>
      <c r="AL42" s="885">
        <f t="shared" si="48"/>
        <v>0</v>
      </c>
      <c r="AM42" s="885">
        <f t="shared" si="48"/>
        <v>0</v>
      </c>
      <c r="AN42" s="885">
        <f t="shared" si="48"/>
        <v>0</v>
      </c>
      <c r="AO42" s="885">
        <f t="shared" si="48"/>
        <v>0</v>
      </c>
      <c r="AP42" s="885">
        <f t="shared" si="48"/>
        <v>0</v>
      </c>
      <c r="AQ42" s="885">
        <f t="shared" si="48"/>
        <v>0</v>
      </c>
      <c r="AR42" s="885">
        <f t="shared" si="48"/>
        <v>0</v>
      </c>
      <c r="AS42" s="885">
        <f t="shared" si="48"/>
        <v>0</v>
      </c>
      <c r="AT42" s="884" t="str">
        <f>IF($N$14&gt;29,"","+ :"&amp;TEXT($N$14*2,0))</f>
        <v>+ :30</v>
      </c>
      <c r="AU42"/>
      <c r="AZ42" s="1088"/>
      <c r="BA42" s="6"/>
      <c r="CB42"/>
      <c r="CC42"/>
    </row>
    <row r="43" spans="4:81" ht="12.75" customHeight="1">
      <c r="D43" s="91"/>
      <c r="E43" s="888"/>
      <c r="I43" s="888"/>
      <c r="L43" s="890" t="s">
        <v>449</v>
      </c>
      <c r="M43" s="891">
        <f>$L$29</f>
        <v>0</v>
      </c>
      <c r="O43" s="877" t="str">
        <f>IF($N$14=15,"1:15P to 2:00P =",IF($N$14=20,"1:20P to 2:00P =",IF($N$14=30,"1:30P to 2:00P =","")))</f>
        <v>1:15P to 2:00P =</v>
      </c>
      <c r="P43" s="891">
        <f>IF($N$14=15,$P$29,IF($N$14=20,$O$29,IF($N$14=30,$N$29,"")))</f>
        <v>0</v>
      </c>
      <c r="R43" s="881"/>
      <c r="S43" s="881"/>
      <c r="T43" s="905" t="s">
        <v>454</v>
      </c>
      <c r="U43" s="884" t="str">
        <f>IF($N$14&gt;19,"","+ :"&amp;TEXT($N$14*3,0))</f>
        <v>+ :45</v>
      </c>
      <c r="V43" s="885">
        <f aca="true" t="shared" si="49" ref="V43:AS43">IF($N$14&gt;19,"",V41*3)</f>
        <v>0</v>
      </c>
      <c r="W43" s="885">
        <f t="shared" si="49"/>
        <v>0</v>
      </c>
      <c r="X43" s="885">
        <f t="shared" si="49"/>
        <v>0</v>
      </c>
      <c r="Y43" s="885">
        <f t="shared" si="49"/>
        <v>0</v>
      </c>
      <c r="Z43" s="885">
        <f t="shared" si="49"/>
        <v>0</v>
      </c>
      <c r="AA43" s="885">
        <f t="shared" si="49"/>
        <v>0</v>
      </c>
      <c r="AB43" s="885">
        <f t="shared" si="49"/>
        <v>0</v>
      </c>
      <c r="AC43" s="885">
        <f t="shared" si="49"/>
        <v>0</v>
      </c>
      <c r="AD43" s="885">
        <f t="shared" si="49"/>
        <v>0</v>
      </c>
      <c r="AE43" s="885">
        <f t="shared" si="49"/>
        <v>0</v>
      </c>
      <c r="AF43" s="885">
        <f t="shared" si="49"/>
        <v>0</v>
      </c>
      <c r="AG43" s="885">
        <f t="shared" si="49"/>
        <v>0</v>
      </c>
      <c r="AH43" s="885">
        <f t="shared" si="49"/>
        <v>0</v>
      </c>
      <c r="AI43" s="885">
        <f t="shared" si="49"/>
        <v>0</v>
      </c>
      <c r="AJ43" s="885">
        <f t="shared" si="49"/>
        <v>0</v>
      </c>
      <c r="AK43" s="885">
        <f t="shared" si="49"/>
        <v>0</v>
      </c>
      <c r="AL43" s="885">
        <f t="shared" si="49"/>
        <v>0</v>
      </c>
      <c r="AM43" s="885">
        <f t="shared" si="49"/>
        <v>0</v>
      </c>
      <c r="AN43" s="885">
        <f t="shared" si="49"/>
        <v>0</v>
      </c>
      <c r="AO43" s="885">
        <f t="shared" si="49"/>
        <v>0</v>
      </c>
      <c r="AP43" s="885">
        <f t="shared" si="49"/>
        <v>0</v>
      </c>
      <c r="AQ43" s="885">
        <f t="shared" si="49"/>
        <v>0</v>
      </c>
      <c r="AR43" s="885">
        <f t="shared" si="49"/>
        <v>0</v>
      </c>
      <c r="AS43" s="885">
        <f t="shared" si="49"/>
        <v>0</v>
      </c>
      <c r="AT43" s="884" t="str">
        <f>IF($N$14&gt;19,"","+ :"&amp;TEXT($N$14*3,0))</f>
        <v>+ :45</v>
      </c>
      <c r="AU43"/>
      <c r="AZ43" s="1088"/>
      <c r="BA43" s="6"/>
      <c r="CB43"/>
      <c r="CC43"/>
    </row>
    <row r="44" spans="4:81" ht="12.75">
      <c r="D44" s="91"/>
      <c r="E44" s="888"/>
      <c r="I44" s="888"/>
      <c r="AU44"/>
      <c r="AZ44" s="1088"/>
      <c r="BA44" s="6"/>
      <c r="CB44"/>
      <c r="CC44"/>
    </row>
    <row r="45" spans="5:81" ht="12.75">
      <c r="E45" s="894"/>
      <c r="I45" s="894"/>
      <c r="L45" s="894" t="s">
        <v>458</v>
      </c>
      <c r="M45" s="895"/>
      <c r="N45"/>
      <c r="O45" s="894" t="s">
        <v>456</v>
      </c>
      <c r="P45" s="895"/>
      <c r="S45" s="919" t="s">
        <v>473</v>
      </c>
      <c r="AG45" s="919" t="s">
        <v>474</v>
      </c>
      <c r="AH45"/>
      <c r="AI45"/>
      <c r="AJ45"/>
      <c r="AU45"/>
      <c r="AZ45" s="1088"/>
      <c r="BA45" s="6"/>
      <c r="CB45"/>
      <c r="CC45"/>
    </row>
    <row r="46" spans="6:81" ht="12.75" customHeight="1">
      <c r="F46"/>
      <c r="L46" s="890" t="s">
        <v>449</v>
      </c>
      <c r="M46" s="891">
        <f>$L$29</f>
        <v>0</v>
      </c>
      <c r="N46"/>
      <c r="O46" s="914" t="s">
        <v>457</v>
      </c>
      <c r="P46" s="891">
        <f>$M$32</f>
        <v>0</v>
      </c>
      <c r="T46" s="73"/>
      <c r="U46" s="890" t="s">
        <v>449</v>
      </c>
      <c r="V46" s="891">
        <f>$L$29</f>
        <v>0</v>
      </c>
      <c r="W46" s="876"/>
      <c r="Y46" s="894" t="s">
        <v>458</v>
      </c>
      <c r="Z46" s="895"/>
      <c r="AC46" s="5" t="str">
        <f>IF($N$14="","",IF($N$14=15,"1:15P to 2:15P:",IF($N$14=20,"1:20P to 2:20P:",IF($N$14=30,"1:30P to 2:30P:",""))))</f>
        <v>1:15P to 2:15P:</v>
      </c>
      <c r="AG46"/>
      <c r="AH46"/>
      <c r="AI46" s="890" t="s">
        <v>449</v>
      </c>
      <c r="AJ46" s="891">
        <f>$AI$29</f>
        <v>0</v>
      </c>
      <c r="AK46"/>
      <c r="AL46"/>
      <c r="AM46" s="5" t="str">
        <f>IF($N$14="","",IF($N$14=15,"1:15P to 2:15P:",IF($N$14=20,"1:20P to 2:20P:",IF($N$14=30,"1:30P to 2:30P:",""))))</f>
        <v>1:15P to 2:15P:</v>
      </c>
      <c r="AN46"/>
      <c r="AO46"/>
      <c r="AQ46" s="5" t="str">
        <f>IF($N$14="","",IF($N$14=15,"6:45A to 5:30P:",IF($N$14=20,"6:40A to 5:40P:",IF($N$14=30,"6:30A to 5:30P:",""))))</f>
        <v>6:45A to 5:30P:</v>
      </c>
      <c r="AR46"/>
      <c r="AU46"/>
      <c r="AZ46" s="1088"/>
      <c r="BA46" s="6"/>
      <c r="CB46"/>
      <c r="CC46"/>
    </row>
    <row r="47" spans="6:81" ht="12.75">
      <c r="F47"/>
      <c r="L47" s="914" t="s">
        <v>459</v>
      </c>
      <c r="M47" s="915">
        <f>$L$30</f>
        <v>0</v>
      </c>
      <c r="N47"/>
      <c r="O47" s="914" t="s">
        <v>513</v>
      </c>
      <c r="P47" s="915">
        <f>-$M$22</f>
        <v>0</v>
      </c>
      <c r="Y47" s="890" t="s">
        <v>449</v>
      </c>
      <c r="Z47" s="891">
        <f>$L$29</f>
        <v>0</v>
      </c>
      <c r="AC47" s="877" t="str">
        <f>IF($N$14=15,"1:15P to 2:00P =",IF($N$14=20,"1:20P to 2:00P =",IF($N$14=30,"1:30P to 2:00P =","")))</f>
        <v>1:15P to 2:00P =</v>
      </c>
      <c r="AD47" s="891">
        <f>IF($N$14=15,$AI$10,IF($N$14=20,$AI$9,IF($N$14=30,$AI$8,"")))</f>
        <v>0</v>
      </c>
      <c r="AG47"/>
      <c r="AH47"/>
      <c r="AI47" s="890" t="s">
        <v>450</v>
      </c>
      <c r="AJ47" s="891">
        <f>$AL$23</f>
        <v>0</v>
      </c>
      <c r="AK47"/>
      <c r="AL47"/>
      <c r="AM47" s="877" t="str">
        <f>IF($N$14=15,"1:15P to 2:00P =",IF($N$14=20,"1:20P to 2:00P =",IF($N$14=30,"1:30P to 2:00P =","")))</f>
        <v>1:15P to 2:00P =</v>
      </c>
      <c r="AN47" s="891">
        <f>IF($N$14=15,$T$30,IF($N$14=20,$S$30,IF($N$14=30,$R$30,"")))</f>
        <v>0</v>
      </c>
      <c r="AO47"/>
      <c r="AQ47" s="877" t="str">
        <f>IF(OR($N$14=15,$N$14=20,$N$14=30),"7:00A to 5:00P =","")</f>
        <v>7:00A to 5:00P =</v>
      </c>
      <c r="AR47" s="917">
        <f>IF(OR($N$14=15,$N$14=20,$N$14=30),$AJ$47,"")</f>
        <v>0</v>
      </c>
      <c r="AU47"/>
      <c r="AZ47" s="1088"/>
      <c r="BA47" s="6"/>
      <c r="CB47"/>
      <c r="CC47"/>
    </row>
    <row r="48" spans="5:53" ht="12.75">
      <c r="E48" s="895"/>
      <c r="F48"/>
      <c r="I48" s="895"/>
      <c r="L48" s="914"/>
      <c r="M48" s="918">
        <f>SUM(M46:M47)</f>
        <v>0</v>
      </c>
      <c r="N48"/>
      <c r="O48" s="73"/>
      <c r="P48" s="891">
        <f>SUM(P46:P47)</f>
        <v>0</v>
      </c>
      <c r="Q48" s="73"/>
      <c r="U48" s="877" t="str">
        <f>IF($N$14=15,"1:15P to 2:00P =",IF($N$14=20,"1:20P to 2:00P =",IF($N$14=30,"1:30P to 2:00P =","")))</f>
        <v>1:15P to 2:00P =</v>
      </c>
      <c r="V48" s="891">
        <f>IF($N$14=15,$AI$10,IF($N$14=20,$AI$9,IF($N$14=30,$AI$8,"")))</f>
        <v>0</v>
      </c>
      <c r="Y48" s="914" t="s">
        <v>459</v>
      </c>
      <c r="Z48" s="915">
        <f>$L$30</f>
        <v>0</v>
      </c>
      <c r="AC48" s="877" t="str">
        <f>IF($N$14=15,"2:00P to 2:15P =",IF($N$14=20,"2:00P to 2:20P =",IF($N$14=30,"2:00P to 2:30P =","")))</f>
        <v>2:00P to 2:15P =</v>
      </c>
      <c r="AD48" s="915">
        <f>IF(OR($N$14=15,$N$14=20,$N$14=30),$AJ$8,"")</f>
        <v>0</v>
      </c>
      <c r="AG48"/>
      <c r="AH48"/>
      <c r="AI48" s="877" t="s">
        <v>451</v>
      </c>
      <c r="AJ48" s="892">
        <f>$AH$29</f>
        <v>0</v>
      </c>
      <c r="AK48"/>
      <c r="AL48"/>
      <c r="AM48" s="877" t="str">
        <f>IF($N$14=15,"2:00P to 2:15P =",IF($N$14=20,"2:00P to 2:20P =",IF($N$14=30,"2:00P to 2:30P =","")))</f>
        <v>2:00P to 2:15P =</v>
      </c>
      <c r="AN48" s="915">
        <f>IF(OR($N$14=15,$N$14=20,$N$14=30),$AI$41,"")</f>
        <v>0</v>
      </c>
      <c r="AO48"/>
      <c r="AQ48" s="877" t="str">
        <f>IF($N$14=15,"6:45A to 7:00A =",IF($N$14=20,"6:40A to 7:00A =",IF($N$14=30,"6:30A to 7:00A =","")))</f>
        <v>6:45A to 7:00A =</v>
      </c>
      <c r="AR48" s="891">
        <f>IF(OR($N$14=15,$N$14=20,$N$14=30),$R$23,"")</f>
        <v>0</v>
      </c>
      <c r="AZ48" s="1088"/>
      <c r="BA48" s="6"/>
    </row>
    <row r="49" spans="5:53" ht="12.75">
      <c r="E49" s="895"/>
      <c r="F49"/>
      <c r="I49" s="895"/>
      <c r="O49" s="1089">
        <f>IF(OR($C$15="",$C$15=15,$C$15=20,$C$15=30),"","There are no examples for Period Fraction ="&amp;TEXT($N$14,"0.00"))</f>
      </c>
      <c r="Y49" s="914"/>
      <c r="Z49" s="918">
        <f>SUM(Z47:Z48)</f>
        <v>0</v>
      </c>
      <c r="AB49" s="875"/>
      <c r="AC49" s="73"/>
      <c r="AD49" s="878">
        <f>IF(OR($N$14="",$AC$46=""),"",SUM(AD47:AD48))</f>
        <v>0</v>
      </c>
      <c r="AG49"/>
      <c r="AH49"/>
      <c r="AI49"/>
      <c r="AJ49"/>
      <c r="AK49"/>
      <c r="AM49" s="256"/>
      <c r="AN49" s="878">
        <f>IF(OR($N$14="",$AM$46=""),"",SUM(AN47:AN48))</f>
        <v>0</v>
      </c>
      <c r="AO49"/>
      <c r="AQ49" s="877" t="str">
        <f>IF(OR($N$14=15,$N$14=30),"5:00P to 5:30P =",IF($N$14=20,"5:00P to 5:40P =",""))</f>
        <v>5:00P to 5:30P =</v>
      </c>
      <c r="AR49" s="915">
        <f>IF($N$14=15,$AL$42,IF($N$14=20,$AL$42,IF($N$14=30,$AL$41,"")))</f>
        <v>0</v>
      </c>
      <c r="AZ49" s="1088"/>
      <c r="BA49" s="6"/>
    </row>
    <row r="50" spans="6:53" ht="12.75">
      <c r="F50"/>
      <c r="K50"/>
      <c r="L50" s="5" t="str">
        <f>IF($N$14="","",IF($N$14=15,"1:15P to 2:15P:",IF($N$14=20,"1:20P to 2:20P:",IF($N$14=30,"1:30P to 2:30P:",""))))</f>
        <v>1:15P to 2:15P:</v>
      </c>
      <c r="M50"/>
      <c r="N50"/>
      <c r="O50" s="5" t="str">
        <f>IF($N$14="","",IF($N$14=15,"6:45A to 5:30P:",IF($N$14=20,"6:40A to 5:40P:",IF($N$14=30,"6:30A to 5:30P:",""))))</f>
        <v>6:45A to 5:30P:</v>
      </c>
      <c r="P50"/>
      <c r="AD50" s="1089">
        <f>IF(OR($C$15="",$C$15=15,$C$15=20,$C$15=30),"","There are no examples for Period Fraction ="&amp;TEXT($N$14,"0.00"))</f>
      </c>
      <c r="AG50"/>
      <c r="AH50"/>
      <c r="AI50"/>
      <c r="AJ50"/>
      <c r="AK50"/>
      <c r="AL50"/>
      <c r="AN50"/>
      <c r="AO50"/>
      <c r="AP50" s="875"/>
      <c r="AQ50" s="1089">
        <f>IF(OR($C$15="",$C$15=15,$C$15=20,$C$15=30),"","There are no examples for Period Fraction ="&amp;TEXT($N$14,"0.00"))</f>
      </c>
      <c r="AR50" s="892">
        <f>IF(OR($N$14="",$AQ$46=""),"",SUM(AR47:AR49))</f>
        <v>0</v>
      </c>
      <c r="AZ50" s="1088"/>
      <c r="BA50" s="6"/>
    </row>
    <row r="51" spans="6:53" ht="12.75">
      <c r="F51"/>
      <c r="K51"/>
      <c r="L51" s="877" t="str">
        <f>IF($N$14=15,"1:15P to 2:00P =",IF($N$14=20,"1:20P to 2:00P =",IF($N$14=30,"1:30P to 2:00P =","")))</f>
        <v>1:15P to 2:00P =</v>
      </c>
      <c r="M51" s="891">
        <f>IF($N$14=15,$P$29,IF($N$14=20,$O$29,IF($N$14=30,$N$29,"")))</f>
        <v>0</v>
      </c>
      <c r="N51"/>
      <c r="O51" s="877" t="str">
        <f>IF(OR($N$14=15,$N$14=20,$N$14=30),"7:00A to 5:00P =","")</f>
        <v>7:00A to 5:00P =</v>
      </c>
      <c r="P51" s="917">
        <f>IF(OR($N$14=15,$N$14=20,$N$14=30),$P$48,"")</f>
        <v>0</v>
      </c>
      <c r="AG51"/>
      <c r="AH51"/>
      <c r="AI51"/>
      <c r="AJ51"/>
      <c r="AK51"/>
      <c r="AL51"/>
      <c r="AM51"/>
      <c r="AN51"/>
      <c r="AO51"/>
      <c r="AP51"/>
      <c r="AQ51"/>
      <c r="AR51"/>
      <c r="AS51"/>
      <c r="AW51" s="523" t="s">
        <v>481</v>
      </c>
      <c r="AX51" s="55" t="s">
        <v>482</v>
      </c>
      <c r="AZ51" s="1088"/>
      <c r="BA51" s="6"/>
    </row>
    <row r="52" spans="6:53" ht="12.75">
      <c r="F52"/>
      <c r="K52"/>
      <c r="L52" s="877" t="str">
        <f>IF($N$14=15,"2:00P to 2:15P =",IF($N$14=20,"2:00P to 2:20P =",IF($N$14=30,"2:00P to 2:30P =","")))</f>
        <v>2:00P to 2:15P =</v>
      </c>
      <c r="M52" s="915">
        <f>IF(OR($N$14=15,$N$14=20,$N$14=30),$N$30,"")</f>
        <v>0</v>
      </c>
      <c r="N52"/>
      <c r="O52" s="877" t="str">
        <f>IF($N$14=15,"6:45A to 7:00A =",IF($N$14=20,"6:40A to 7:00A =",IF($N$14=30,"6:30A to 7:00A =","")))</f>
        <v>6:45A to 7:00A =</v>
      </c>
      <c r="P52" s="891">
        <f>IF(OR($N$14=15,$N$14=20,$N$14=30),$N$22,"")</f>
        <v>0</v>
      </c>
      <c r="R52" s="888"/>
      <c r="AX52" s="55" t="s">
        <v>483</v>
      </c>
      <c r="AZ52" s="1088"/>
      <c r="BA52" s="6"/>
    </row>
    <row r="53" spans="6:53" ht="12.75">
      <c r="F53"/>
      <c r="L53" s="73"/>
      <c r="M53" s="878">
        <f>IF(OR($N$14="",$L$50=""),"",SUM(M51:M52))</f>
        <v>0</v>
      </c>
      <c r="N53"/>
      <c r="O53" s="877" t="str">
        <f>IF(OR($N$14=15,$N$14=30),"5:00P to 5:30P =",IF($N$14=20,"5:00P to 5:40P =",""))</f>
        <v>5:00P to 5:30P =</v>
      </c>
      <c r="P53" s="915">
        <f>IF($N$14=15,$O$33,IF($N$14=20,$O$33,IF($N$14=30,$N$33,"")))</f>
        <v>0</v>
      </c>
      <c r="R53" s="888"/>
      <c r="AG53"/>
      <c r="AH53"/>
      <c r="AI53"/>
      <c r="AJ53"/>
      <c r="AK53"/>
      <c r="AL53"/>
      <c r="AM53"/>
      <c r="AN53"/>
      <c r="AO53"/>
      <c r="AP53"/>
      <c r="AQ53"/>
      <c r="AR53"/>
      <c r="AS53"/>
      <c r="AT53"/>
      <c r="AX53" s="55" t="s">
        <v>484</v>
      </c>
      <c r="AZ53" s="1088"/>
      <c r="BA53" s="6"/>
    </row>
    <row r="54" spans="6:53" ht="12.75">
      <c r="F54"/>
      <c r="J54"/>
      <c r="L54" s="73"/>
      <c r="M54"/>
      <c r="N54"/>
      <c r="P54" s="892">
        <f>IF(OR($N$14="",$O$50=""),"",SUM(P51:P53))</f>
        <v>0</v>
      </c>
      <c r="Q54" s="73"/>
      <c r="AG54"/>
      <c r="AH54"/>
      <c r="AI54"/>
      <c r="AJ54"/>
      <c r="AK54"/>
      <c r="AL54"/>
      <c r="AM54"/>
      <c r="AN54"/>
      <c r="AO54"/>
      <c r="AP54"/>
      <c r="AQ54"/>
      <c r="AR54"/>
      <c r="AS54"/>
      <c r="AT54"/>
      <c r="AZ54" s="1088"/>
      <c r="BA54" s="6"/>
    </row>
    <row r="55" spans="6:53" ht="12.75">
      <c r="F55"/>
      <c r="J55"/>
      <c r="K55"/>
      <c r="L55"/>
      <c r="M55"/>
      <c r="N55"/>
      <c r="O55"/>
      <c r="P55"/>
      <c r="Q55" s="73"/>
      <c r="AG55"/>
      <c r="AH55"/>
      <c r="AI55"/>
      <c r="AJ55"/>
      <c r="AK55"/>
      <c r="AL55"/>
      <c r="AM55"/>
      <c r="AN55"/>
      <c r="AO55"/>
      <c r="AP55"/>
      <c r="AQ55"/>
      <c r="AR55"/>
      <c r="AS55"/>
      <c r="AT55"/>
      <c r="AZ55" s="1088"/>
      <c r="BA55" s="6"/>
    </row>
    <row r="56" spans="6:49" ht="16.5" thickBot="1">
      <c r="F56"/>
      <c r="J56"/>
      <c r="K56"/>
      <c r="L56"/>
      <c r="M56"/>
      <c r="N56"/>
      <c r="O56"/>
      <c r="P56"/>
      <c r="Q56" s="73"/>
      <c r="AG56"/>
      <c r="AH56"/>
      <c r="AI56"/>
      <c r="AJ56"/>
      <c r="AK56"/>
      <c r="AL56"/>
      <c r="AM56"/>
      <c r="AN56"/>
      <c r="AO56"/>
      <c r="AP56"/>
      <c r="AQ56"/>
      <c r="AR56"/>
      <c r="AS56"/>
      <c r="AT56"/>
      <c r="AV56" s="895"/>
      <c r="AW56" s="521" t="s">
        <v>480</v>
      </c>
    </row>
    <row r="57" spans="6:78" ht="19.5" customHeight="1">
      <c r="F57"/>
      <c r="J57"/>
      <c r="K57"/>
      <c r="L57"/>
      <c r="M57"/>
      <c r="N57"/>
      <c r="O57"/>
      <c r="P57"/>
      <c r="Q57" s="73"/>
      <c r="AW57" s="1065" t="s">
        <v>229</v>
      </c>
      <c r="AX57" s="1219">
        <f>IF($B$9="","",$B$9)</f>
      </c>
      <c r="AY57" s="1220"/>
      <c r="AZ57" s="1216" t="s">
        <v>522</v>
      </c>
      <c r="BA57" s="1207" t="str">
        <f>$F16</f>
        <v>12 A - 1 A</v>
      </c>
      <c r="BB57" s="1207" t="str">
        <f>$F17</f>
        <v>1 A - 2 A</v>
      </c>
      <c r="BC57" s="1207" t="str">
        <f>$F18</f>
        <v>2 A - 3 A</v>
      </c>
      <c r="BD57" s="1207" t="str">
        <f>$F19</f>
        <v>3 A - 4 A</v>
      </c>
      <c r="BE57" s="1207" t="str">
        <f>$F20</f>
        <v>4 A - 5 A</v>
      </c>
      <c r="BF57" s="1207" t="str">
        <f>$F21</f>
        <v>5 A - 6 A</v>
      </c>
      <c r="BG57" s="1207" t="str">
        <f>$F22</f>
        <v>6 A - 7 A</v>
      </c>
      <c r="BH57" s="1207" t="str">
        <f>$F23</f>
        <v>7 A - 8 A</v>
      </c>
      <c r="BI57" s="1207" t="str">
        <f>$F24</f>
        <v>8 A - 9 A</v>
      </c>
      <c r="BJ57" s="1207" t="str">
        <f>$F25</f>
        <v>9 A - 10 A</v>
      </c>
      <c r="BK57" s="1207" t="str">
        <f>$F26</f>
        <v>10 A - 11 A</v>
      </c>
      <c r="BL57" s="1207" t="str">
        <f>$F27</f>
        <v>11 A - 12 P</v>
      </c>
      <c r="BM57" s="1207" t="str">
        <f>$F28</f>
        <v>12 P - 1 P</v>
      </c>
      <c r="BN57" s="1207" t="str">
        <f>$F29</f>
        <v>1 P - 2 P</v>
      </c>
      <c r="BO57" s="1207" t="str">
        <f>$F30</f>
        <v>2 P - 3 P</v>
      </c>
      <c r="BP57" s="1207" t="str">
        <f>$F31</f>
        <v>3 P - 4 P</v>
      </c>
      <c r="BQ57" s="1207" t="str">
        <f>$F32</f>
        <v>4 P - 5 P</v>
      </c>
      <c r="BR57" s="1207" t="str">
        <f>$F33</f>
        <v>5 P - 6 P</v>
      </c>
      <c r="BS57" s="1207" t="str">
        <f>$F34</f>
        <v>6 P - 7 P</v>
      </c>
      <c r="BT57" s="1207" t="str">
        <f>$F35</f>
        <v>7 P - 8 P</v>
      </c>
      <c r="BU57" s="1207" t="str">
        <f>$F36</f>
        <v>8 P - 9 P</v>
      </c>
      <c r="BV57" s="1207" t="str">
        <f>$F37</f>
        <v>9 P - 10 P</v>
      </c>
      <c r="BW57" s="1207" t="str">
        <f>$F38</f>
        <v>10 P - 11 P</v>
      </c>
      <c r="BX57" s="1223" t="str">
        <f>$F39</f>
        <v>11 P - 12 A</v>
      </c>
      <c r="BY57" s="1226" t="s">
        <v>462</v>
      </c>
      <c r="BZ57" s="1227"/>
    </row>
    <row r="58" spans="6:78" ht="19.5" customHeight="1">
      <c r="F58"/>
      <c r="J58"/>
      <c r="K58"/>
      <c r="L58"/>
      <c r="M58"/>
      <c r="N58"/>
      <c r="O58"/>
      <c r="P58"/>
      <c r="Q58" s="73"/>
      <c r="AW58" s="853" t="s">
        <v>230</v>
      </c>
      <c r="AX58" s="1214">
        <f>IF($B$10="","",$B$10)</f>
      </c>
      <c r="AY58" s="1215"/>
      <c r="AZ58" s="1217"/>
      <c r="BA58" s="1208"/>
      <c r="BB58" s="1208"/>
      <c r="BC58" s="1208"/>
      <c r="BD58" s="1208"/>
      <c r="BE58" s="1208"/>
      <c r="BF58" s="1208"/>
      <c r="BG58" s="1208"/>
      <c r="BH58" s="1208"/>
      <c r="BI58" s="1208"/>
      <c r="BJ58" s="1208"/>
      <c r="BK58" s="1208"/>
      <c r="BL58" s="1208"/>
      <c r="BM58" s="1208"/>
      <c r="BN58" s="1208"/>
      <c r="BO58" s="1208"/>
      <c r="BP58" s="1208"/>
      <c r="BQ58" s="1208"/>
      <c r="BR58" s="1208"/>
      <c r="BS58" s="1208"/>
      <c r="BT58" s="1208"/>
      <c r="BU58" s="1208"/>
      <c r="BV58" s="1208"/>
      <c r="BW58" s="1208"/>
      <c r="BX58" s="1224"/>
      <c r="BY58" s="1228"/>
      <c r="BZ58" s="1229"/>
    </row>
    <row r="59" spans="6:78" ht="19.5" customHeight="1">
      <c r="F59"/>
      <c r="J59"/>
      <c r="K59"/>
      <c r="L59"/>
      <c r="M59"/>
      <c r="N59"/>
      <c r="O59"/>
      <c r="P59"/>
      <c r="Q59" s="73"/>
      <c r="AV59" s="895"/>
      <c r="AW59" s="853" t="s">
        <v>231</v>
      </c>
      <c r="AX59" s="1214">
        <f>IF($B$11="","",$B$11)</f>
      </c>
      <c r="AY59" s="1215"/>
      <c r="AZ59" s="1218"/>
      <c r="BA59" s="1209"/>
      <c r="BB59" s="1209"/>
      <c r="BC59" s="1209"/>
      <c r="BD59" s="1209"/>
      <c r="BE59" s="1209"/>
      <c r="BF59" s="1209"/>
      <c r="BG59" s="1209"/>
      <c r="BH59" s="1209"/>
      <c r="BI59" s="1209"/>
      <c r="BJ59" s="1209"/>
      <c r="BK59" s="1209"/>
      <c r="BL59" s="1209"/>
      <c r="BM59" s="1209"/>
      <c r="BN59" s="1209"/>
      <c r="BO59" s="1209"/>
      <c r="BP59" s="1209"/>
      <c r="BQ59" s="1209"/>
      <c r="BR59" s="1209"/>
      <c r="BS59" s="1209"/>
      <c r="BT59" s="1209"/>
      <c r="BU59" s="1209"/>
      <c r="BV59" s="1209"/>
      <c r="BW59" s="1209"/>
      <c r="BX59" s="1225"/>
      <c r="BY59" s="1230"/>
      <c r="BZ59" s="1229"/>
    </row>
    <row r="60" spans="6:78" ht="18" customHeight="1">
      <c r="F60"/>
      <c r="J60"/>
      <c r="K60"/>
      <c r="L60"/>
      <c r="M60"/>
      <c r="N60"/>
      <c r="O60"/>
      <c r="P60"/>
      <c r="Q60" s="73"/>
      <c r="AW60" s="1090" t="s">
        <v>216</v>
      </c>
      <c r="AX60" s="1238">
        <f>$G$12</f>
      </c>
      <c r="AY60" s="1239"/>
      <c r="AZ60" s="1240" t="s">
        <v>463</v>
      </c>
      <c r="BA60" s="1221">
        <f>$G16</f>
        <v>0</v>
      </c>
      <c r="BB60" s="1221">
        <f>$G17</f>
        <v>0</v>
      </c>
      <c r="BC60" s="1221">
        <f>$G18</f>
        <v>0</v>
      </c>
      <c r="BD60" s="1221">
        <f>$G19</f>
        <v>0</v>
      </c>
      <c r="BE60" s="1221">
        <f>$G20</f>
        <v>0</v>
      </c>
      <c r="BF60" s="1221">
        <f>$G21</f>
        <v>0</v>
      </c>
      <c r="BG60" s="1221">
        <f>$G22</f>
        <v>0</v>
      </c>
      <c r="BH60" s="1221">
        <f>$G23</f>
        <v>0</v>
      </c>
      <c r="BI60" s="1221">
        <f>$G24</f>
        <v>0</v>
      </c>
      <c r="BJ60" s="1221">
        <f>$G25</f>
        <v>0</v>
      </c>
      <c r="BK60" s="1221">
        <f>$G26</f>
        <v>0</v>
      </c>
      <c r="BL60" s="1221">
        <f>$G27</f>
        <v>0</v>
      </c>
      <c r="BM60" s="1221">
        <f>$G28</f>
        <v>0</v>
      </c>
      <c r="BN60" s="1221">
        <f>$G29</f>
        <v>0</v>
      </c>
      <c r="BO60" s="1221">
        <f>$G30</f>
        <v>0</v>
      </c>
      <c r="BP60" s="1221">
        <f>$G31</f>
        <v>0</v>
      </c>
      <c r="BQ60" s="1221">
        <f>$G32</f>
        <v>0</v>
      </c>
      <c r="BR60" s="1221">
        <f>$G33</f>
        <v>0</v>
      </c>
      <c r="BS60" s="1221">
        <f>$G34</f>
        <v>0</v>
      </c>
      <c r="BT60" s="1221">
        <f>$G35</f>
        <v>0</v>
      </c>
      <c r="BU60" s="1221">
        <f>$G36</f>
        <v>0</v>
      </c>
      <c r="BV60" s="1221">
        <f>$G37</f>
        <v>0</v>
      </c>
      <c r="BW60" s="1221">
        <f>$G38</f>
        <v>0</v>
      </c>
      <c r="BX60" s="1233">
        <f>$G39</f>
        <v>0</v>
      </c>
      <c r="BY60" s="1230" t="s">
        <v>529</v>
      </c>
      <c r="BZ60" s="1244" t="s">
        <v>464</v>
      </c>
    </row>
    <row r="61" spans="6:78" ht="18" customHeight="1">
      <c r="F61"/>
      <c r="J61"/>
      <c r="K61"/>
      <c r="L61"/>
      <c r="M61"/>
      <c r="N61"/>
      <c r="O61"/>
      <c r="P61"/>
      <c r="Q61" s="73"/>
      <c r="AW61" s="1091" t="s">
        <v>408</v>
      </c>
      <c r="AX61" s="1238">
        <f>$G$13</f>
      </c>
      <c r="AY61" s="1239"/>
      <c r="AZ61" s="1217"/>
      <c r="BA61" s="1222"/>
      <c r="BB61" s="1222"/>
      <c r="BC61" s="1222"/>
      <c r="BD61" s="1222"/>
      <c r="BE61" s="1222"/>
      <c r="BF61" s="1222"/>
      <c r="BG61" s="1222"/>
      <c r="BH61" s="1222"/>
      <c r="BI61" s="1222"/>
      <c r="BJ61" s="1222"/>
      <c r="BK61" s="1222"/>
      <c r="BL61" s="1222"/>
      <c r="BM61" s="1222"/>
      <c r="BN61" s="1222"/>
      <c r="BO61" s="1222"/>
      <c r="BP61" s="1222"/>
      <c r="BQ61" s="1222"/>
      <c r="BR61" s="1222"/>
      <c r="BS61" s="1222"/>
      <c r="BT61" s="1222"/>
      <c r="BU61" s="1222"/>
      <c r="BV61" s="1222"/>
      <c r="BW61" s="1222"/>
      <c r="BX61" s="1234"/>
      <c r="BY61" s="1246"/>
      <c r="BZ61" s="1245"/>
    </row>
    <row r="62" spans="10:78" ht="18" customHeight="1" thickBot="1">
      <c r="J62"/>
      <c r="K62"/>
      <c r="L62"/>
      <c r="M62"/>
      <c r="N62"/>
      <c r="O62"/>
      <c r="P62"/>
      <c r="Q62" s="73"/>
      <c r="AV62" s="895"/>
      <c r="AW62" s="1092" t="s">
        <v>478</v>
      </c>
      <c r="AX62" s="1242">
        <f>$H$4</f>
        <v>1</v>
      </c>
      <c r="AY62" s="1243"/>
      <c r="AZ62" s="1241"/>
      <c r="BA62" s="1222"/>
      <c r="BB62" s="1222"/>
      <c r="BC62" s="1222"/>
      <c r="BD62" s="1222"/>
      <c r="BE62" s="1222"/>
      <c r="BF62" s="1222"/>
      <c r="BG62" s="1222"/>
      <c r="BH62" s="1222"/>
      <c r="BI62" s="1222"/>
      <c r="BJ62" s="1222"/>
      <c r="BK62" s="1222"/>
      <c r="BL62" s="1222"/>
      <c r="BM62" s="1222"/>
      <c r="BN62" s="1222"/>
      <c r="BO62" s="1222"/>
      <c r="BP62" s="1222"/>
      <c r="BQ62" s="1222"/>
      <c r="BR62" s="1222"/>
      <c r="BS62" s="1222"/>
      <c r="BT62" s="1222"/>
      <c r="BU62" s="1222"/>
      <c r="BV62" s="1222"/>
      <c r="BW62" s="1222"/>
      <c r="BX62" s="1234"/>
      <c r="BY62" s="1246"/>
      <c r="BZ62" s="1245"/>
    </row>
    <row r="63" spans="10:78" ht="18" customHeight="1">
      <c r="J63"/>
      <c r="K63"/>
      <c r="L63"/>
      <c r="M63"/>
      <c r="N63"/>
      <c r="O63"/>
      <c r="P63"/>
      <c r="Q63" s="73"/>
      <c r="AW63" s="1093" t="s">
        <v>465</v>
      </c>
      <c r="AX63" s="1170" t="s">
        <v>466</v>
      </c>
      <c r="AY63" s="1168" t="s">
        <v>467</v>
      </c>
      <c r="AZ63" s="1168"/>
      <c r="BA63" s="1094"/>
      <c r="BB63" s="1095"/>
      <c r="BC63" s="1095"/>
      <c r="BD63" s="1095"/>
      <c r="BE63" s="1095"/>
      <c r="BF63" s="1095"/>
      <c r="BG63" s="1095"/>
      <c r="BH63" s="1095"/>
      <c r="BI63" s="1095"/>
      <c r="BJ63" s="1095"/>
      <c r="BK63" s="1114" t="s">
        <v>524</v>
      </c>
      <c r="BL63" s="1095"/>
      <c r="BM63" s="1095"/>
      <c r="BN63" s="1095"/>
      <c r="BO63" s="1095"/>
      <c r="BP63" s="1095"/>
      <c r="BQ63" s="1095"/>
      <c r="BR63" s="1095"/>
      <c r="BS63" s="1095"/>
      <c r="BT63" s="1095"/>
      <c r="BU63" s="1095"/>
      <c r="BV63" s="1095"/>
      <c r="BW63" s="1095"/>
      <c r="BX63" s="1096"/>
      <c r="BY63" s="1246"/>
      <c r="BZ63" s="1245"/>
    </row>
    <row r="64" spans="17:78" ht="12.75">
      <c r="Q64" s="73"/>
      <c r="AW64" s="926">
        <v>1</v>
      </c>
      <c r="AX64" s="1100"/>
      <c r="AY64" s="1068"/>
      <c r="AZ64" s="1113"/>
      <c r="BA64" s="1101"/>
      <c r="BB64" s="1101"/>
      <c r="BC64" s="1101"/>
      <c r="BD64" s="1101"/>
      <c r="BE64" s="1101"/>
      <c r="BF64" s="1101"/>
      <c r="BG64" s="1101"/>
      <c r="BH64" s="1101"/>
      <c r="BI64" s="1101"/>
      <c r="BJ64" s="1101"/>
      <c r="BK64" s="1101"/>
      <c r="BL64" s="1101"/>
      <c r="BM64" s="1101"/>
      <c r="BN64" s="1101"/>
      <c r="BO64" s="1101"/>
      <c r="BP64" s="1101"/>
      <c r="BQ64" s="1101"/>
      <c r="BR64" s="1101"/>
      <c r="BS64" s="1102"/>
      <c r="BT64" s="1103"/>
      <c r="BU64" s="1101"/>
      <c r="BV64" s="1101"/>
      <c r="BW64" s="1101"/>
      <c r="BX64" s="1104"/>
      <c r="BY64" s="927">
        <f aca="true" t="shared" si="50" ref="BY64:BY103">IF(AX64="","",SUM(BA64:BX64))</f>
      </c>
      <c r="BZ64" s="930">
        <f aca="true" t="shared" si="51" ref="BZ64:BZ103">IF(AX64="","",BA64*BA$60+BB64*BB$60+BC64*BC$60+BD64*BD$60+BE64*BE$60+BF64*BF$60+BG64*BG$60+BH64*BH$60+BI64*BI$60+BJ64*BJ$60+BK64*BK$60+BL64*BL$60+BM64*BM$60+BN64*BN$60+BO64*BO$60+BP64*BP$60+BQ64*BQ$60+BR64*BR$60+BS64*BS$60+BT64*BT$60+BU64*BU$60+BV64*BV$60+BW64*BW$60+BX64*BX$60)</f>
      </c>
    </row>
    <row r="65" spans="17:78" ht="12.75">
      <c r="Q65" s="73"/>
      <c r="AW65" s="926">
        <v>2</v>
      </c>
      <c r="AX65" s="1100"/>
      <c r="AY65" s="1068"/>
      <c r="AZ65" s="1113"/>
      <c r="BA65" s="1102"/>
      <c r="BB65" s="1102"/>
      <c r="BC65" s="1102"/>
      <c r="BD65" s="1102"/>
      <c r="BE65" s="1102"/>
      <c r="BF65" s="1102"/>
      <c r="BG65" s="1102"/>
      <c r="BH65" s="1102"/>
      <c r="BI65" s="1102"/>
      <c r="BJ65" s="1102"/>
      <c r="BK65" s="1102"/>
      <c r="BL65" s="1102"/>
      <c r="BM65" s="1102"/>
      <c r="BN65" s="1102"/>
      <c r="BO65" s="1102"/>
      <c r="BP65" s="1102"/>
      <c r="BQ65" s="1102"/>
      <c r="BR65" s="1102"/>
      <c r="BS65" s="1102"/>
      <c r="BT65" s="1105"/>
      <c r="BU65" s="1102"/>
      <c r="BV65" s="1102"/>
      <c r="BW65" s="1102"/>
      <c r="BX65" s="1106"/>
      <c r="BY65" s="927">
        <f t="shared" si="50"/>
      </c>
      <c r="BZ65" s="930">
        <f t="shared" si="51"/>
      </c>
    </row>
    <row r="66" spans="49:78" ht="12.75">
      <c r="AW66" s="926">
        <v>3</v>
      </c>
      <c r="AX66" s="1100"/>
      <c r="AY66" s="1068"/>
      <c r="AZ66" s="1113"/>
      <c r="BA66" s="1102"/>
      <c r="BB66" s="1102"/>
      <c r="BC66" s="1102"/>
      <c r="BD66" s="1102"/>
      <c r="BE66" s="1102"/>
      <c r="BF66" s="1102"/>
      <c r="BG66" s="1102"/>
      <c r="BH66" s="1102"/>
      <c r="BI66" s="1102"/>
      <c r="BJ66" s="1102"/>
      <c r="BK66" s="1102"/>
      <c r="BL66" s="1102"/>
      <c r="BM66" s="1102"/>
      <c r="BN66" s="1102"/>
      <c r="BO66" s="1102"/>
      <c r="BP66" s="1102"/>
      <c r="BQ66" s="1102"/>
      <c r="BR66" s="1102"/>
      <c r="BS66" s="1102"/>
      <c r="BT66" s="1105"/>
      <c r="BU66" s="1102"/>
      <c r="BV66" s="1102"/>
      <c r="BW66" s="1102"/>
      <c r="BX66" s="1106"/>
      <c r="BY66" s="927">
        <f t="shared" si="50"/>
      </c>
      <c r="BZ66" s="930">
        <f t="shared" si="51"/>
      </c>
    </row>
    <row r="67" spans="49:78" ht="12.75">
      <c r="AW67" s="926">
        <v>4</v>
      </c>
      <c r="AX67" s="1100"/>
      <c r="AY67" s="1068"/>
      <c r="AZ67" s="1113"/>
      <c r="BA67" s="1102"/>
      <c r="BB67" s="1102"/>
      <c r="BC67" s="1102"/>
      <c r="BD67" s="1102"/>
      <c r="BE67" s="1102"/>
      <c r="BF67" s="1102"/>
      <c r="BG67" s="1102"/>
      <c r="BH67" s="1102"/>
      <c r="BI67" s="1102"/>
      <c r="BJ67" s="1102"/>
      <c r="BK67" s="1102"/>
      <c r="BL67" s="1102"/>
      <c r="BM67" s="1102"/>
      <c r="BN67" s="1102"/>
      <c r="BO67" s="1102"/>
      <c r="BP67" s="1102"/>
      <c r="BQ67" s="1102"/>
      <c r="BR67" s="1102"/>
      <c r="BS67" s="1102"/>
      <c r="BT67" s="1105"/>
      <c r="BU67" s="1102"/>
      <c r="BV67" s="1102"/>
      <c r="BW67" s="1102"/>
      <c r="BX67" s="1106"/>
      <c r="BY67" s="927">
        <f t="shared" si="50"/>
      </c>
      <c r="BZ67" s="930">
        <f t="shared" si="51"/>
      </c>
    </row>
    <row r="68" spans="11:78" ht="12.75">
      <c r="K68"/>
      <c r="L68"/>
      <c r="M68"/>
      <c r="AW68" s="926">
        <v>5</v>
      </c>
      <c r="AX68" s="1100"/>
      <c r="AY68" s="1068"/>
      <c r="AZ68" s="1113"/>
      <c r="BA68" s="1102"/>
      <c r="BB68" s="1102"/>
      <c r="BC68" s="1102"/>
      <c r="BD68" s="1102"/>
      <c r="BE68" s="1102"/>
      <c r="BF68" s="1102"/>
      <c r="BG68" s="1102"/>
      <c r="BH68" s="1102"/>
      <c r="BI68" s="1102"/>
      <c r="BJ68" s="1102"/>
      <c r="BK68" s="1102"/>
      <c r="BL68" s="1102"/>
      <c r="BM68" s="1102"/>
      <c r="BN68" s="1102"/>
      <c r="BO68" s="1102"/>
      <c r="BP68" s="1102"/>
      <c r="BQ68" s="1102"/>
      <c r="BR68" s="1102"/>
      <c r="BS68" s="1102"/>
      <c r="BT68" s="1105"/>
      <c r="BU68" s="1102"/>
      <c r="BV68" s="1102"/>
      <c r="BW68" s="1102"/>
      <c r="BX68" s="1106"/>
      <c r="BY68" s="927">
        <f t="shared" si="50"/>
      </c>
      <c r="BZ68" s="930">
        <f t="shared" si="51"/>
      </c>
    </row>
    <row r="69" spans="11:78" ht="12.75">
      <c r="K69"/>
      <c r="L69"/>
      <c r="M69"/>
      <c r="AW69" s="926">
        <v>6</v>
      </c>
      <c r="AX69" s="1100"/>
      <c r="AY69" s="1068"/>
      <c r="AZ69" s="1113"/>
      <c r="BA69" s="1102"/>
      <c r="BB69" s="1102"/>
      <c r="BC69" s="1102"/>
      <c r="BD69" s="1102"/>
      <c r="BE69" s="1102"/>
      <c r="BF69" s="1102"/>
      <c r="BG69" s="1102"/>
      <c r="BH69" s="1102"/>
      <c r="BI69" s="1102"/>
      <c r="BJ69" s="1102"/>
      <c r="BK69" s="1102"/>
      <c r="BL69" s="1102"/>
      <c r="BM69" s="1102"/>
      <c r="BN69" s="1102"/>
      <c r="BO69" s="1102"/>
      <c r="BP69" s="1102"/>
      <c r="BQ69" s="1102"/>
      <c r="BR69" s="1102"/>
      <c r="BS69" s="1102"/>
      <c r="BT69" s="1105"/>
      <c r="BU69" s="1102"/>
      <c r="BV69" s="1102"/>
      <c r="BW69" s="1102"/>
      <c r="BX69" s="1106"/>
      <c r="BY69" s="927">
        <f t="shared" si="50"/>
      </c>
      <c r="BZ69" s="930">
        <f t="shared" si="51"/>
      </c>
    </row>
    <row r="70" spans="11:78" ht="12.75">
      <c r="K70"/>
      <c r="L70"/>
      <c r="M70"/>
      <c r="AW70" s="926">
        <v>7</v>
      </c>
      <c r="AX70" s="1100"/>
      <c r="AY70" s="1068"/>
      <c r="AZ70" s="1113"/>
      <c r="BA70" s="1102"/>
      <c r="BB70" s="1102"/>
      <c r="BC70" s="1102"/>
      <c r="BD70" s="1102"/>
      <c r="BE70" s="1102"/>
      <c r="BF70" s="1102"/>
      <c r="BG70" s="1102"/>
      <c r="BH70" s="1102"/>
      <c r="BI70" s="1102"/>
      <c r="BJ70" s="1102"/>
      <c r="BK70" s="1102"/>
      <c r="BL70" s="1102"/>
      <c r="BM70" s="1102"/>
      <c r="BN70" s="1102"/>
      <c r="BO70" s="1102"/>
      <c r="BP70" s="1102"/>
      <c r="BQ70" s="1102"/>
      <c r="BR70" s="1102"/>
      <c r="BS70" s="1102"/>
      <c r="BT70" s="1105"/>
      <c r="BU70" s="1102"/>
      <c r="BV70" s="1102"/>
      <c r="BW70" s="1102"/>
      <c r="BX70" s="1106"/>
      <c r="BY70" s="927">
        <f t="shared" si="50"/>
      </c>
      <c r="BZ70" s="930">
        <f t="shared" si="51"/>
      </c>
    </row>
    <row r="71" spans="49:78" ht="12.75">
      <c r="AW71" s="926">
        <v>8</v>
      </c>
      <c r="AX71" s="1100"/>
      <c r="AY71" s="1068"/>
      <c r="AZ71" s="1113"/>
      <c r="BA71" s="1102"/>
      <c r="BB71" s="1102"/>
      <c r="BC71" s="1102"/>
      <c r="BD71" s="1102"/>
      <c r="BE71" s="1102"/>
      <c r="BF71" s="1102"/>
      <c r="BG71" s="1102"/>
      <c r="BH71" s="1102"/>
      <c r="BI71" s="1102"/>
      <c r="BJ71" s="1102"/>
      <c r="BK71" s="1102"/>
      <c r="BL71" s="1102"/>
      <c r="BM71" s="1102"/>
      <c r="BN71" s="1102"/>
      <c r="BO71" s="1102"/>
      <c r="BP71" s="1102"/>
      <c r="BQ71" s="1102"/>
      <c r="BR71" s="1102"/>
      <c r="BS71" s="1102"/>
      <c r="BT71" s="1105"/>
      <c r="BU71" s="1102"/>
      <c r="BV71" s="1102"/>
      <c r="BW71" s="1102"/>
      <c r="BX71" s="1106"/>
      <c r="BY71" s="927">
        <f t="shared" si="50"/>
      </c>
      <c r="BZ71" s="930">
        <f t="shared" si="51"/>
      </c>
    </row>
    <row r="72" spans="49:78" ht="12.75">
      <c r="AW72" s="926">
        <v>9</v>
      </c>
      <c r="AX72" s="1100"/>
      <c r="AY72" s="1068"/>
      <c r="AZ72" s="1113"/>
      <c r="BA72" s="1102"/>
      <c r="BB72" s="1102"/>
      <c r="BC72" s="1102"/>
      <c r="BD72" s="1102"/>
      <c r="BE72" s="1102"/>
      <c r="BF72" s="1102"/>
      <c r="BG72" s="1102"/>
      <c r="BH72" s="1102"/>
      <c r="BI72" s="1102"/>
      <c r="BJ72" s="1102"/>
      <c r="BK72" s="1102"/>
      <c r="BL72" s="1102"/>
      <c r="BM72" s="1102"/>
      <c r="BN72" s="1102"/>
      <c r="BO72" s="1102"/>
      <c r="BP72" s="1102"/>
      <c r="BQ72" s="1102"/>
      <c r="BR72" s="1102"/>
      <c r="BS72" s="1102"/>
      <c r="BT72" s="1105"/>
      <c r="BU72" s="1102"/>
      <c r="BV72" s="1102"/>
      <c r="BW72" s="1102"/>
      <c r="BX72" s="1106"/>
      <c r="BY72" s="927">
        <f t="shared" si="50"/>
      </c>
      <c r="BZ72" s="930">
        <f t="shared" si="51"/>
      </c>
    </row>
    <row r="73" spans="49:78" ht="12.75">
      <c r="AW73" s="926">
        <v>10</v>
      </c>
      <c r="AX73" s="1100"/>
      <c r="AY73" s="1068"/>
      <c r="AZ73" s="1113"/>
      <c r="BA73" s="1102"/>
      <c r="BB73" s="1102"/>
      <c r="BC73" s="1102"/>
      <c r="BD73" s="1102"/>
      <c r="BE73" s="1102"/>
      <c r="BF73" s="1102"/>
      <c r="BG73" s="1102"/>
      <c r="BH73" s="1102"/>
      <c r="BI73" s="1102"/>
      <c r="BJ73" s="1102"/>
      <c r="BK73" s="1102"/>
      <c r="BL73" s="1102"/>
      <c r="BM73" s="1102"/>
      <c r="BN73" s="1102"/>
      <c r="BO73" s="1102"/>
      <c r="BP73" s="1102"/>
      <c r="BQ73" s="1102"/>
      <c r="BR73" s="1102"/>
      <c r="BS73" s="1102"/>
      <c r="BT73" s="1105"/>
      <c r="BU73" s="1102"/>
      <c r="BV73" s="1102"/>
      <c r="BW73" s="1102"/>
      <c r="BX73" s="1106"/>
      <c r="BY73" s="927">
        <f t="shared" si="50"/>
      </c>
      <c r="BZ73" s="930">
        <f t="shared" si="51"/>
      </c>
    </row>
    <row r="74" spans="49:78" ht="12.75">
      <c r="AW74" s="926">
        <v>11</v>
      </c>
      <c r="AX74" s="1100"/>
      <c r="AY74" s="1068"/>
      <c r="AZ74" s="1113"/>
      <c r="BA74" s="1102"/>
      <c r="BB74" s="1102"/>
      <c r="BC74" s="1102"/>
      <c r="BD74" s="1102"/>
      <c r="BE74" s="1102"/>
      <c r="BF74" s="1102"/>
      <c r="BG74" s="1102"/>
      <c r="BH74" s="1102"/>
      <c r="BI74" s="1102"/>
      <c r="BJ74" s="1102"/>
      <c r="BK74" s="1102"/>
      <c r="BL74" s="1102"/>
      <c r="BM74" s="1102"/>
      <c r="BN74" s="1102"/>
      <c r="BO74" s="1102"/>
      <c r="BP74" s="1102"/>
      <c r="BQ74" s="1102"/>
      <c r="BR74" s="1102"/>
      <c r="BS74" s="1102"/>
      <c r="BT74" s="1105"/>
      <c r="BU74" s="1102"/>
      <c r="BV74" s="1102"/>
      <c r="BW74" s="1102"/>
      <c r="BX74" s="1106"/>
      <c r="BY74" s="927">
        <f t="shared" si="50"/>
      </c>
      <c r="BZ74" s="930">
        <f t="shared" si="51"/>
      </c>
    </row>
    <row r="75" spans="49:78" ht="12.75">
      <c r="AW75" s="926">
        <v>12</v>
      </c>
      <c r="AX75" s="1100"/>
      <c r="AY75" s="1068"/>
      <c r="AZ75" s="1113"/>
      <c r="BA75" s="1102"/>
      <c r="BB75" s="1102"/>
      <c r="BC75" s="1102"/>
      <c r="BD75" s="1102"/>
      <c r="BE75" s="1102"/>
      <c r="BF75" s="1102"/>
      <c r="BG75" s="1102"/>
      <c r="BH75" s="1102"/>
      <c r="BI75" s="1102"/>
      <c r="BJ75" s="1102"/>
      <c r="BK75" s="1102"/>
      <c r="BL75" s="1102"/>
      <c r="BM75" s="1102"/>
      <c r="BN75" s="1102"/>
      <c r="BO75" s="1102"/>
      <c r="BP75" s="1102"/>
      <c r="BQ75" s="1102"/>
      <c r="BR75" s="1102"/>
      <c r="BS75" s="1102"/>
      <c r="BT75" s="1105"/>
      <c r="BU75" s="1102"/>
      <c r="BV75" s="1102"/>
      <c r="BW75" s="1102"/>
      <c r="BX75" s="1106"/>
      <c r="BY75" s="927">
        <f t="shared" si="50"/>
      </c>
      <c r="BZ75" s="930">
        <f t="shared" si="51"/>
      </c>
    </row>
    <row r="76" spans="49:78" ht="12.75">
      <c r="AW76" s="926">
        <v>13</v>
      </c>
      <c r="AX76" s="1100"/>
      <c r="AY76" s="1068"/>
      <c r="AZ76" s="1113"/>
      <c r="BA76" s="1102"/>
      <c r="BB76" s="1102"/>
      <c r="BC76" s="1102"/>
      <c r="BD76" s="1102"/>
      <c r="BE76" s="1102"/>
      <c r="BF76" s="1102"/>
      <c r="BG76" s="1102"/>
      <c r="BH76" s="1102"/>
      <c r="BI76" s="1102"/>
      <c r="BJ76" s="1102"/>
      <c r="BK76" s="1102"/>
      <c r="BL76" s="1102"/>
      <c r="BM76" s="1102"/>
      <c r="BN76" s="1102"/>
      <c r="BO76" s="1102"/>
      <c r="BP76" s="1102"/>
      <c r="BQ76" s="1102"/>
      <c r="BR76" s="1102"/>
      <c r="BS76" s="1102"/>
      <c r="BT76" s="1105"/>
      <c r="BU76" s="1102"/>
      <c r="BV76" s="1102"/>
      <c r="BW76" s="1102"/>
      <c r="BX76" s="1106"/>
      <c r="BY76" s="927">
        <f t="shared" si="50"/>
      </c>
      <c r="BZ76" s="930">
        <f t="shared" si="51"/>
      </c>
    </row>
    <row r="77" spans="49:78" ht="12.75">
      <c r="AW77" s="926">
        <v>14</v>
      </c>
      <c r="AX77" s="1100"/>
      <c r="AY77" s="1068"/>
      <c r="AZ77" s="1113"/>
      <c r="BA77" s="1102"/>
      <c r="BB77" s="1102"/>
      <c r="BC77" s="1102"/>
      <c r="BD77" s="1102"/>
      <c r="BE77" s="1102"/>
      <c r="BF77" s="1102"/>
      <c r="BG77" s="1102"/>
      <c r="BH77" s="1102"/>
      <c r="BI77" s="1102"/>
      <c r="BJ77" s="1102"/>
      <c r="BK77" s="1102"/>
      <c r="BL77" s="1102"/>
      <c r="BM77" s="1102"/>
      <c r="BN77" s="1102"/>
      <c r="BO77" s="1102"/>
      <c r="BP77" s="1102"/>
      <c r="BQ77" s="1102"/>
      <c r="BR77" s="1102"/>
      <c r="BS77" s="1102"/>
      <c r="BT77" s="1105"/>
      <c r="BU77" s="1102"/>
      <c r="BV77" s="1102"/>
      <c r="BW77" s="1102"/>
      <c r="BX77" s="1106"/>
      <c r="BY77" s="927">
        <f t="shared" si="50"/>
      </c>
      <c r="BZ77" s="930">
        <f t="shared" si="51"/>
      </c>
    </row>
    <row r="78" spans="49:78" ht="12.75">
      <c r="AW78" s="926">
        <v>15</v>
      </c>
      <c r="AX78" s="1100"/>
      <c r="AY78" s="1068"/>
      <c r="AZ78" s="1113"/>
      <c r="BA78" s="1102"/>
      <c r="BB78" s="1102"/>
      <c r="BC78" s="1102"/>
      <c r="BD78" s="1102"/>
      <c r="BE78" s="1102"/>
      <c r="BF78" s="1102"/>
      <c r="BG78" s="1102"/>
      <c r="BH78" s="1102"/>
      <c r="BI78" s="1102"/>
      <c r="BJ78" s="1102"/>
      <c r="BK78" s="1102"/>
      <c r="BL78" s="1102"/>
      <c r="BM78" s="1102"/>
      <c r="BN78" s="1102"/>
      <c r="BO78" s="1102"/>
      <c r="BP78" s="1102"/>
      <c r="BQ78" s="1102"/>
      <c r="BR78" s="1102"/>
      <c r="BS78" s="1102"/>
      <c r="BT78" s="1105"/>
      <c r="BU78" s="1102"/>
      <c r="BV78" s="1102"/>
      <c r="BW78" s="1102"/>
      <c r="BX78" s="1106"/>
      <c r="BY78" s="927">
        <f t="shared" si="50"/>
      </c>
      <c r="BZ78" s="930">
        <f t="shared" si="51"/>
      </c>
    </row>
    <row r="79" spans="49:78" ht="12.75">
      <c r="AW79" s="1097">
        <v>16</v>
      </c>
      <c r="AX79" s="1108"/>
      <c r="AY79" s="1109"/>
      <c r="AZ79" s="1109"/>
      <c r="BA79" s="1102"/>
      <c r="BB79" s="1101"/>
      <c r="BC79" s="1101"/>
      <c r="BD79" s="1101"/>
      <c r="BE79" s="1101"/>
      <c r="BF79" s="1101"/>
      <c r="BG79" s="1101"/>
      <c r="BH79" s="1101"/>
      <c r="BI79" s="1101"/>
      <c r="BJ79" s="1101"/>
      <c r="BK79" s="1101"/>
      <c r="BL79" s="1101"/>
      <c r="BM79" s="1101"/>
      <c r="BN79" s="1101"/>
      <c r="BO79" s="1101"/>
      <c r="BP79" s="1101"/>
      <c r="BQ79" s="1101"/>
      <c r="BR79" s="1101"/>
      <c r="BS79" s="1101"/>
      <c r="BT79" s="1102"/>
      <c r="BU79" s="1102"/>
      <c r="BV79" s="1102"/>
      <c r="BW79" s="1102"/>
      <c r="BX79" s="1106"/>
      <c r="BY79" s="927">
        <f t="shared" si="50"/>
      </c>
      <c r="BZ79" s="930">
        <f t="shared" si="51"/>
      </c>
    </row>
    <row r="80" spans="49:78" ht="12.75">
      <c r="AW80" s="926">
        <v>17</v>
      </c>
      <c r="AX80" s="1100"/>
      <c r="AY80" s="1110"/>
      <c r="AZ80" s="1110"/>
      <c r="BA80" s="1102"/>
      <c r="BB80" s="1102"/>
      <c r="BC80" s="1102"/>
      <c r="BD80" s="1102"/>
      <c r="BE80" s="1102"/>
      <c r="BF80" s="1102"/>
      <c r="BG80" s="1102"/>
      <c r="BH80" s="1102"/>
      <c r="BI80" s="1102"/>
      <c r="BJ80" s="1102"/>
      <c r="BK80" s="1102"/>
      <c r="BL80" s="1102"/>
      <c r="BM80" s="1102"/>
      <c r="BN80" s="1102"/>
      <c r="BO80" s="1102"/>
      <c r="BP80" s="1102"/>
      <c r="BQ80" s="1102"/>
      <c r="BR80" s="1102"/>
      <c r="BS80" s="1102"/>
      <c r="BT80" s="1102"/>
      <c r="BU80" s="1102"/>
      <c r="BV80" s="1102"/>
      <c r="BW80" s="1102"/>
      <c r="BX80" s="1106"/>
      <c r="BY80" s="927">
        <f t="shared" si="50"/>
      </c>
      <c r="BZ80" s="930">
        <f t="shared" si="51"/>
      </c>
    </row>
    <row r="81" spans="49:78" ht="12.75">
      <c r="AW81" s="926">
        <v>18</v>
      </c>
      <c r="AX81" s="1100"/>
      <c r="AY81" s="1110"/>
      <c r="AZ81" s="1110"/>
      <c r="BA81" s="1102"/>
      <c r="BB81" s="1102"/>
      <c r="BC81" s="1102"/>
      <c r="BD81" s="1102"/>
      <c r="BE81" s="1102"/>
      <c r="BF81" s="1102"/>
      <c r="BG81" s="1102"/>
      <c r="BH81" s="1102"/>
      <c r="BI81" s="1102"/>
      <c r="BJ81" s="1102"/>
      <c r="BK81" s="1102"/>
      <c r="BL81" s="1102"/>
      <c r="BM81" s="1102"/>
      <c r="BN81" s="1102"/>
      <c r="BO81" s="1102"/>
      <c r="BP81" s="1102"/>
      <c r="BQ81" s="1102"/>
      <c r="BR81" s="1102"/>
      <c r="BS81" s="1102"/>
      <c r="BT81" s="1102"/>
      <c r="BU81" s="1102"/>
      <c r="BV81" s="1102"/>
      <c r="BW81" s="1102"/>
      <c r="BX81" s="1106"/>
      <c r="BY81" s="927">
        <f t="shared" si="50"/>
      </c>
      <c r="BZ81" s="930">
        <f t="shared" si="51"/>
      </c>
    </row>
    <row r="82" spans="49:78" ht="12.75">
      <c r="AW82" s="926">
        <v>19</v>
      </c>
      <c r="AX82" s="1100"/>
      <c r="AY82" s="1110"/>
      <c r="AZ82" s="1110"/>
      <c r="BA82" s="1102"/>
      <c r="BB82" s="1102"/>
      <c r="BC82" s="1102"/>
      <c r="BD82" s="1102"/>
      <c r="BE82" s="1102"/>
      <c r="BF82" s="1102"/>
      <c r="BG82" s="1102"/>
      <c r="BH82" s="1102"/>
      <c r="BI82" s="1102"/>
      <c r="BJ82" s="1102"/>
      <c r="BK82" s="1102"/>
      <c r="BL82" s="1102"/>
      <c r="BM82" s="1102"/>
      <c r="BN82" s="1102"/>
      <c r="BO82" s="1102"/>
      <c r="BP82" s="1102"/>
      <c r="BQ82" s="1102"/>
      <c r="BR82" s="1102"/>
      <c r="BS82" s="1102"/>
      <c r="BT82" s="1102"/>
      <c r="BU82" s="1102"/>
      <c r="BV82" s="1102"/>
      <c r="BW82" s="1102"/>
      <c r="BX82" s="1106"/>
      <c r="BY82" s="927">
        <f t="shared" si="50"/>
      </c>
      <c r="BZ82" s="930">
        <f t="shared" si="51"/>
      </c>
    </row>
    <row r="83" spans="49:78" ht="12.75">
      <c r="AW83" s="926">
        <v>20</v>
      </c>
      <c r="AX83" s="1100"/>
      <c r="AY83" s="1110"/>
      <c r="AZ83" s="1110"/>
      <c r="BA83" s="1102"/>
      <c r="BB83" s="1102"/>
      <c r="BC83" s="1102"/>
      <c r="BD83" s="1102"/>
      <c r="BE83" s="1102"/>
      <c r="BF83" s="1102"/>
      <c r="BG83" s="1102"/>
      <c r="BH83" s="1102"/>
      <c r="BI83" s="1102"/>
      <c r="BJ83" s="1102"/>
      <c r="BK83" s="1102"/>
      <c r="BL83" s="1102"/>
      <c r="BM83" s="1102"/>
      <c r="BN83" s="1102"/>
      <c r="BO83" s="1102"/>
      <c r="BP83" s="1102"/>
      <c r="BQ83" s="1102"/>
      <c r="BR83" s="1102"/>
      <c r="BS83" s="1102"/>
      <c r="BT83" s="1102"/>
      <c r="BU83" s="1102"/>
      <c r="BV83" s="1102"/>
      <c r="BW83" s="1102"/>
      <c r="BX83" s="1106"/>
      <c r="BY83" s="927">
        <f t="shared" si="50"/>
      </c>
      <c r="BZ83" s="930">
        <f t="shared" si="51"/>
      </c>
    </row>
    <row r="84" spans="49:78" ht="12.75">
      <c r="AW84" s="926">
        <v>21</v>
      </c>
      <c r="AX84" s="1100"/>
      <c r="AY84" s="1110"/>
      <c r="AZ84" s="1110"/>
      <c r="BA84" s="1102"/>
      <c r="BB84" s="1102"/>
      <c r="BC84" s="1102"/>
      <c r="BD84" s="1102"/>
      <c r="BE84" s="1102"/>
      <c r="BF84" s="1102"/>
      <c r="BG84" s="1102"/>
      <c r="BH84" s="1102"/>
      <c r="BI84" s="1102"/>
      <c r="BJ84" s="1102"/>
      <c r="BK84" s="1102"/>
      <c r="BL84" s="1102"/>
      <c r="BM84" s="1102"/>
      <c r="BN84" s="1102"/>
      <c r="BO84" s="1102"/>
      <c r="BP84" s="1102"/>
      <c r="BQ84" s="1102"/>
      <c r="BR84" s="1102"/>
      <c r="BS84" s="1102"/>
      <c r="BT84" s="1102"/>
      <c r="BU84" s="1102"/>
      <c r="BV84" s="1102"/>
      <c r="BW84" s="1102"/>
      <c r="BX84" s="1106"/>
      <c r="BY84" s="927">
        <f t="shared" si="50"/>
      </c>
      <c r="BZ84" s="930">
        <f t="shared" si="51"/>
      </c>
    </row>
    <row r="85" spans="49:78" ht="12.75">
      <c r="AW85" s="926">
        <v>22</v>
      </c>
      <c r="AX85" s="1100"/>
      <c r="AY85" s="1110"/>
      <c r="AZ85" s="1110"/>
      <c r="BA85" s="1102"/>
      <c r="BB85" s="1102"/>
      <c r="BC85" s="1102"/>
      <c r="BD85" s="1102"/>
      <c r="BE85" s="1102"/>
      <c r="BF85" s="1102"/>
      <c r="BG85" s="1102"/>
      <c r="BH85" s="1102"/>
      <c r="BI85" s="1102"/>
      <c r="BJ85" s="1102"/>
      <c r="BK85" s="1102"/>
      <c r="BL85" s="1102"/>
      <c r="BM85" s="1102"/>
      <c r="BN85" s="1102"/>
      <c r="BO85" s="1102"/>
      <c r="BP85" s="1102"/>
      <c r="BQ85" s="1102"/>
      <c r="BR85" s="1102"/>
      <c r="BS85" s="1102"/>
      <c r="BT85" s="1102"/>
      <c r="BU85" s="1102"/>
      <c r="BV85" s="1102"/>
      <c r="BW85" s="1102"/>
      <c r="BX85" s="1106"/>
      <c r="BY85" s="927">
        <f t="shared" si="50"/>
      </c>
      <c r="BZ85" s="930">
        <f t="shared" si="51"/>
      </c>
    </row>
    <row r="86" spans="49:78" ht="12.75">
      <c r="AW86" s="926">
        <v>23</v>
      </c>
      <c r="AX86" s="1100"/>
      <c r="AY86" s="1110"/>
      <c r="AZ86" s="1110"/>
      <c r="BA86" s="1102"/>
      <c r="BB86" s="1102"/>
      <c r="BC86" s="1102"/>
      <c r="BD86" s="1102"/>
      <c r="BE86" s="1102"/>
      <c r="BF86" s="1102"/>
      <c r="BG86" s="1102"/>
      <c r="BH86" s="1102"/>
      <c r="BI86" s="1102"/>
      <c r="BJ86" s="1102"/>
      <c r="BK86" s="1102"/>
      <c r="BL86" s="1102"/>
      <c r="BM86" s="1102"/>
      <c r="BN86" s="1102"/>
      <c r="BO86" s="1102"/>
      <c r="BP86" s="1102"/>
      <c r="BQ86" s="1102"/>
      <c r="BR86" s="1102"/>
      <c r="BS86" s="1102"/>
      <c r="BT86" s="1102"/>
      <c r="BU86" s="1102"/>
      <c r="BV86" s="1102"/>
      <c r="BW86" s="1102"/>
      <c r="BX86" s="1106"/>
      <c r="BY86" s="927">
        <f t="shared" si="50"/>
      </c>
      <c r="BZ86" s="930">
        <f t="shared" si="51"/>
      </c>
    </row>
    <row r="87" spans="49:78" ht="12.75">
      <c r="AW87" s="926">
        <v>24</v>
      </c>
      <c r="AX87" s="1100"/>
      <c r="AY87" s="1110"/>
      <c r="AZ87" s="1110"/>
      <c r="BA87" s="1102"/>
      <c r="BB87" s="1102"/>
      <c r="BC87" s="1102"/>
      <c r="BD87" s="1102"/>
      <c r="BE87" s="1102"/>
      <c r="BF87" s="1102"/>
      <c r="BG87" s="1102"/>
      <c r="BH87" s="1102"/>
      <c r="BI87" s="1102"/>
      <c r="BJ87" s="1102"/>
      <c r="BK87" s="1102"/>
      <c r="BL87" s="1102"/>
      <c r="BM87" s="1102"/>
      <c r="BN87" s="1102"/>
      <c r="BO87" s="1102"/>
      <c r="BP87" s="1102"/>
      <c r="BQ87" s="1102"/>
      <c r="BR87" s="1102"/>
      <c r="BS87" s="1102"/>
      <c r="BT87" s="1102"/>
      <c r="BU87" s="1102"/>
      <c r="BV87" s="1102"/>
      <c r="BW87" s="1102"/>
      <c r="BX87" s="1106"/>
      <c r="BY87" s="927">
        <f t="shared" si="50"/>
      </c>
      <c r="BZ87" s="930">
        <f t="shared" si="51"/>
      </c>
    </row>
    <row r="88" spans="49:78" ht="12.75">
      <c r="AW88" s="926">
        <v>25</v>
      </c>
      <c r="AX88" s="1100"/>
      <c r="AY88" s="1110"/>
      <c r="AZ88" s="1110"/>
      <c r="BA88" s="1102"/>
      <c r="BB88" s="1102"/>
      <c r="BC88" s="1102"/>
      <c r="BD88" s="1102"/>
      <c r="BE88" s="1102"/>
      <c r="BF88" s="1102"/>
      <c r="BG88" s="1102"/>
      <c r="BH88" s="1102"/>
      <c r="BI88" s="1102"/>
      <c r="BJ88" s="1102"/>
      <c r="BK88" s="1102"/>
      <c r="BL88" s="1102"/>
      <c r="BM88" s="1102"/>
      <c r="BN88" s="1102"/>
      <c r="BO88" s="1102"/>
      <c r="BP88" s="1102"/>
      <c r="BQ88" s="1102"/>
      <c r="BR88" s="1102"/>
      <c r="BS88" s="1102"/>
      <c r="BT88" s="1102"/>
      <c r="BU88" s="1102"/>
      <c r="BV88" s="1102"/>
      <c r="BW88" s="1102"/>
      <c r="BX88" s="1106"/>
      <c r="BY88" s="927">
        <f t="shared" si="50"/>
      </c>
      <c r="BZ88" s="930">
        <f t="shared" si="51"/>
      </c>
    </row>
    <row r="89" spans="49:78" ht="12.75">
      <c r="AW89" s="926">
        <v>26</v>
      </c>
      <c r="AX89" s="1100"/>
      <c r="AY89" s="1110"/>
      <c r="AZ89" s="1110"/>
      <c r="BA89" s="1102"/>
      <c r="BB89" s="1102"/>
      <c r="BC89" s="1102"/>
      <c r="BD89" s="1102"/>
      <c r="BE89" s="1102"/>
      <c r="BF89" s="1102"/>
      <c r="BG89" s="1102"/>
      <c r="BH89" s="1102"/>
      <c r="BI89" s="1102"/>
      <c r="BJ89" s="1102"/>
      <c r="BK89" s="1102"/>
      <c r="BL89" s="1102"/>
      <c r="BM89" s="1102"/>
      <c r="BN89" s="1102"/>
      <c r="BO89" s="1102"/>
      <c r="BP89" s="1102"/>
      <c r="BQ89" s="1102"/>
      <c r="BR89" s="1102"/>
      <c r="BS89" s="1102"/>
      <c r="BT89" s="1102"/>
      <c r="BU89" s="1102"/>
      <c r="BV89" s="1102"/>
      <c r="BW89" s="1102"/>
      <c r="BX89" s="1106"/>
      <c r="BY89" s="927">
        <f t="shared" si="50"/>
      </c>
      <c r="BZ89" s="930">
        <f t="shared" si="51"/>
      </c>
    </row>
    <row r="90" spans="49:78" ht="12.75">
      <c r="AW90" s="926">
        <v>27</v>
      </c>
      <c r="AX90" s="1100"/>
      <c r="AY90" s="1110"/>
      <c r="AZ90" s="1110"/>
      <c r="BA90" s="1102"/>
      <c r="BB90" s="1102"/>
      <c r="BC90" s="1102"/>
      <c r="BD90" s="1102"/>
      <c r="BE90" s="1102"/>
      <c r="BF90" s="1102"/>
      <c r="BG90" s="1102"/>
      <c r="BH90" s="1102"/>
      <c r="BI90" s="1102"/>
      <c r="BJ90" s="1102"/>
      <c r="BK90" s="1102"/>
      <c r="BL90" s="1102"/>
      <c r="BM90" s="1102"/>
      <c r="BN90" s="1102"/>
      <c r="BO90" s="1102"/>
      <c r="BP90" s="1102"/>
      <c r="BQ90" s="1102"/>
      <c r="BR90" s="1102"/>
      <c r="BS90" s="1102"/>
      <c r="BT90" s="1102"/>
      <c r="BU90" s="1102"/>
      <c r="BV90" s="1102"/>
      <c r="BW90" s="1102"/>
      <c r="BX90" s="1106"/>
      <c r="BY90" s="927">
        <f t="shared" si="50"/>
      </c>
      <c r="BZ90" s="930">
        <f t="shared" si="51"/>
      </c>
    </row>
    <row r="91" spans="49:78" ht="12.75">
      <c r="AW91" s="926">
        <v>28</v>
      </c>
      <c r="AX91" s="1100"/>
      <c r="AY91" s="1110"/>
      <c r="AZ91" s="1110"/>
      <c r="BA91" s="1102"/>
      <c r="BB91" s="1102"/>
      <c r="BC91" s="1102"/>
      <c r="BD91" s="1102"/>
      <c r="BE91" s="1102"/>
      <c r="BF91" s="1102"/>
      <c r="BG91" s="1102"/>
      <c r="BH91" s="1102"/>
      <c r="BI91" s="1102"/>
      <c r="BJ91" s="1102"/>
      <c r="BK91" s="1102"/>
      <c r="BL91" s="1102"/>
      <c r="BM91" s="1102"/>
      <c r="BN91" s="1102"/>
      <c r="BO91" s="1102"/>
      <c r="BP91" s="1102"/>
      <c r="BQ91" s="1102"/>
      <c r="BR91" s="1102"/>
      <c r="BS91" s="1102"/>
      <c r="BT91" s="1102"/>
      <c r="BU91" s="1102"/>
      <c r="BV91" s="1102"/>
      <c r="BW91" s="1102"/>
      <c r="BX91" s="1106"/>
      <c r="BY91" s="927">
        <f t="shared" si="50"/>
      </c>
      <c r="BZ91" s="930">
        <f t="shared" si="51"/>
      </c>
    </row>
    <row r="92" spans="49:78" ht="12.75">
      <c r="AW92" s="926">
        <v>29</v>
      </c>
      <c r="AX92" s="1100"/>
      <c r="AY92" s="1110"/>
      <c r="AZ92" s="1110"/>
      <c r="BA92" s="1102"/>
      <c r="BB92" s="1102"/>
      <c r="BC92" s="1102"/>
      <c r="BD92" s="1102"/>
      <c r="BE92" s="1102"/>
      <c r="BF92" s="1102"/>
      <c r="BG92" s="1102"/>
      <c r="BH92" s="1102"/>
      <c r="BI92" s="1102"/>
      <c r="BJ92" s="1102"/>
      <c r="BK92" s="1102"/>
      <c r="BL92" s="1102"/>
      <c r="BM92" s="1102"/>
      <c r="BN92" s="1102"/>
      <c r="BO92" s="1102"/>
      <c r="BP92" s="1102"/>
      <c r="BQ92" s="1102"/>
      <c r="BR92" s="1102"/>
      <c r="BS92" s="1102"/>
      <c r="BT92" s="1102"/>
      <c r="BU92" s="1102"/>
      <c r="BV92" s="1102"/>
      <c r="BW92" s="1102"/>
      <c r="BX92" s="1106"/>
      <c r="BY92" s="927">
        <f t="shared" si="50"/>
      </c>
      <c r="BZ92" s="930">
        <f t="shared" si="51"/>
      </c>
    </row>
    <row r="93" spans="49:78" ht="12.75">
      <c r="AW93" s="926">
        <v>30</v>
      </c>
      <c r="AX93" s="1100"/>
      <c r="AY93" s="1110"/>
      <c r="AZ93" s="1110"/>
      <c r="BA93" s="1102"/>
      <c r="BB93" s="1102"/>
      <c r="BC93" s="1102"/>
      <c r="BD93" s="1102"/>
      <c r="BE93" s="1102"/>
      <c r="BF93" s="1102"/>
      <c r="BG93" s="1102"/>
      <c r="BH93" s="1102"/>
      <c r="BI93" s="1102"/>
      <c r="BJ93" s="1102"/>
      <c r="BK93" s="1102"/>
      <c r="BL93" s="1102"/>
      <c r="BM93" s="1102"/>
      <c r="BN93" s="1102"/>
      <c r="BO93" s="1102"/>
      <c r="BP93" s="1102"/>
      <c r="BQ93" s="1102"/>
      <c r="BR93" s="1102"/>
      <c r="BS93" s="1102"/>
      <c r="BT93" s="1102"/>
      <c r="BU93" s="1102"/>
      <c r="BV93" s="1102"/>
      <c r="BW93" s="1102"/>
      <c r="BX93" s="1106"/>
      <c r="BY93" s="927">
        <f t="shared" si="50"/>
      </c>
      <c r="BZ93" s="930">
        <f t="shared" si="51"/>
      </c>
    </row>
    <row r="94" spans="49:78" ht="12.75">
      <c r="AW94" s="926">
        <v>31</v>
      </c>
      <c r="AX94" s="1100"/>
      <c r="AY94" s="1110"/>
      <c r="AZ94" s="1110"/>
      <c r="BA94" s="1102"/>
      <c r="BB94" s="1102"/>
      <c r="BC94" s="1102"/>
      <c r="BD94" s="1102"/>
      <c r="BE94" s="1102"/>
      <c r="BF94" s="1102"/>
      <c r="BG94" s="1102"/>
      <c r="BH94" s="1102"/>
      <c r="BI94" s="1102"/>
      <c r="BJ94" s="1102"/>
      <c r="BK94" s="1102"/>
      <c r="BL94" s="1102"/>
      <c r="BM94" s="1102"/>
      <c r="BN94" s="1102"/>
      <c r="BO94" s="1102"/>
      <c r="BP94" s="1102"/>
      <c r="BQ94" s="1102"/>
      <c r="BR94" s="1102"/>
      <c r="BS94" s="1102"/>
      <c r="BT94" s="1102"/>
      <c r="BU94" s="1102"/>
      <c r="BV94" s="1102"/>
      <c r="BW94" s="1102"/>
      <c r="BX94" s="1106"/>
      <c r="BY94" s="927">
        <f t="shared" si="50"/>
      </c>
      <c r="BZ94" s="930">
        <f t="shared" si="51"/>
      </c>
    </row>
    <row r="95" spans="49:78" ht="12.75">
      <c r="AW95" s="926">
        <v>32</v>
      </c>
      <c r="AX95" s="1100"/>
      <c r="AY95" s="1110"/>
      <c r="AZ95" s="1110"/>
      <c r="BA95" s="1102"/>
      <c r="BB95" s="1102"/>
      <c r="BC95" s="1102"/>
      <c r="BD95" s="1102"/>
      <c r="BE95" s="1102"/>
      <c r="BF95" s="1102"/>
      <c r="BG95" s="1102"/>
      <c r="BH95" s="1102"/>
      <c r="BI95" s="1102"/>
      <c r="BJ95" s="1102"/>
      <c r="BK95" s="1102"/>
      <c r="BL95" s="1102"/>
      <c r="BM95" s="1102"/>
      <c r="BN95" s="1102"/>
      <c r="BO95" s="1102"/>
      <c r="BP95" s="1102"/>
      <c r="BQ95" s="1102"/>
      <c r="BR95" s="1102"/>
      <c r="BS95" s="1102"/>
      <c r="BT95" s="1102"/>
      <c r="BU95" s="1102"/>
      <c r="BV95" s="1102"/>
      <c r="BW95" s="1102"/>
      <c r="BX95" s="1106"/>
      <c r="BY95" s="927">
        <f t="shared" si="50"/>
      </c>
      <c r="BZ95" s="930">
        <f t="shared" si="51"/>
      </c>
    </row>
    <row r="96" spans="49:78" ht="12.75">
      <c r="AW96" s="926">
        <v>33</v>
      </c>
      <c r="AX96" s="1100"/>
      <c r="AY96" s="1110"/>
      <c r="AZ96" s="1110"/>
      <c r="BA96" s="1102"/>
      <c r="BB96" s="1102"/>
      <c r="BC96" s="1102"/>
      <c r="BD96" s="1102"/>
      <c r="BE96" s="1102"/>
      <c r="BF96" s="1102"/>
      <c r="BG96" s="1102"/>
      <c r="BH96" s="1102"/>
      <c r="BI96" s="1102"/>
      <c r="BJ96" s="1102"/>
      <c r="BK96" s="1102"/>
      <c r="BL96" s="1102"/>
      <c r="BM96" s="1102"/>
      <c r="BN96" s="1102"/>
      <c r="BO96" s="1102"/>
      <c r="BP96" s="1102"/>
      <c r="BQ96" s="1102"/>
      <c r="BR96" s="1102"/>
      <c r="BS96" s="1102"/>
      <c r="BT96" s="1102"/>
      <c r="BU96" s="1102"/>
      <c r="BV96" s="1102"/>
      <c r="BW96" s="1102"/>
      <c r="BX96" s="1106"/>
      <c r="BY96" s="927">
        <f t="shared" si="50"/>
      </c>
      <c r="BZ96" s="930">
        <f t="shared" si="51"/>
      </c>
    </row>
    <row r="97" spans="49:78" ht="12.75">
      <c r="AW97" s="926">
        <v>34</v>
      </c>
      <c r="AX97" s="1100"/>
      <c r="AY97" s="1110"/>
      <c r="AZ97" s="1110"/>
      <c r="BA97" s="1102"/>
      <c r="BB97" s="1102"/>
      <c r="BC97" s="1102"/>
      <c r="BD97" s="1102"/>
      <c r="BE97" s="1102"/>
      <c r="BF97" s="1102"/>
      <c r="BG97" s="1102"/>
      <c r="BH97" s="1102"/>
      <c r="BI97" s="1102"/>
      <c r="BJ97" s="1102"/>
      <c r="BK97" s="1102"/>
      <c r="BL97" s="1102"/>
      <c r="BM97" s="1102"/>
      <c r="BN97" s="1102"/>
      <c r="BO97" s="1102"/>
      <c r="BP97" s="1102"/>
      <c r="BQ97" s="1102"/>
      <c r="BR97" s="1102"/>
      <c r="BS97" s="1102"/>
      <c r="BT97" s="1102"/>
      <c r="BU97" s="1102"/>
      <c r="BV97" s="1102"/>
      <c r="BW97" s="1102"/>
      <c r="BX97" s="1106"/>
      <c r="BY97" s="927">
        <f t="shared" si="50"/>
      </c>
      <c r="BZ97" s="930">
        <f t="shared" si="51"/>
      </c>
    </row>
    <row r="98" spans="49:78" ht="12.75">
      <c r="AW98" s="926">
        <v>35</v>
      </c>
      <c r="AX98" s="1100"/>
      <c r="AY98" s="1110"/>
      <c r="AZ98" s="1110"/>
      <c r="BA98" s="1102"/>
      <c r="BB98" s="1102"/>
      <c r="BC98" s="1102"/>
      <c r="BD98" s="1102"/>
      <c r="BE98" s="1102"/>
      <c r="BF98" s="1102"/>
      <c r="BG98" s="1102"/>
      <c r="BH98" s="1102"/>
      <c r="BI98" s="1102"/>
      <c r="BJ98" s="1102"/>
      <c r="BK98" s="1102"/>
      <c r="BL98" s="1102"/>
      <c r="BM98" s="1102"/>
      <c r="BN98" s="1102"/>
      <c r="BO98" s="1102"/>
      <c r="BP98" s="1102"/>
      <c r="BQ98" s="1102"/>
      <c r="BR98" s="1102"/>
      <c r="BS98" s="1102"/>
      <c r="BT98" s="1102"/>
      <c r="BU98" s="1102"/>
      <c r="BV98" s="1102"/>
      <c r="BW98" s="1102"/>
      <c r="BX98" s="1106"/>
      <c r="BY98" s="927">
        <f t="shared" si="50"/>
      </c>
      <c r="BZ98" s="930">
        <f t="shared" si="51"/>
      </c>
    </row>
    <row r="99" spans="49:78" ht="12.75">
      <c r="AW99" s="926">
        <v>36</v>
      </c>
      <c r="AX99" s="1100"/>
      <c r="AY99" s="1110"/>
      <c r="AZ99" s="1110"/>
      <c r="BA99" s="1102"/>
      <c r="BB99" s="1102"/>
      <c r="BC99" s="1102"/>
      <c r="BD99" s="1102"/>
      <c r="BE99" s="1102"/>
      <c r="BF99" s="1102"/>
      <c r="BG99" s="1102"/>
      <c r="BH99" s="1102"/>
      <c r="BI99" s="1102"/>
      <c r="BJ99" s="1102"/>
      <c r="BK99" s="1102"/>
      <c r="BL99" s="1102"/>
      <c r="BM99" s="1102"/>
      <c r="BN99" s="1102"/>
      <c r="BO99" s="1102"/>
      <c r="BP99" s="1102"/>
      <c r="BQ99" s="1102"/>
      <c r="BR99" s="1102"/>
      <c r="BS99" s="1102"/>
      <c r="BT99" s="1102"/>
      <c r="BU99" s="1102"/>
      <c r="BV99" s="1102"/>
      <c r="BW99" s="1102"/>
      <c r="BX99" s="1106"/>
      <c r="BY99" s="927">
        <f t="shared" si="50"/>
      </c>
      <c r="BZ99" s="930">
        <f t="shared" si="51"/>
      </c>
    </row>
    <row r="100" spans="49:78" ht="12.75">
      <c r="AW100" s="926">
        <v>37</v>
      </c>
      <c r="AX100" s="1100"/>
      <c r="AY100" s="1110"/>
      <c r="AZ100" s="1110"/>
      <c r="BA100" s="1102"/>
      <c r="BB100" s="1102"/>
      <c r="BC100" s="1102"/>
      <c r="BD100" s="1102"/>
      <c r="BE100" s="1102"/>
      <c r="BF100" s="1102"/>
      <c r="BG100" s="1102"/>
      <c r="BH100" s="1102"/>
      <c r="BI100" s="1102"/>
      <c r="BJ100" s="1102"/>
      <c r="BK100" s="1102"/>
      <c r="BL100" s="1102"/>
      <c r="BM100" s="1102"/>
      <c r="BN100" s="1102"/>
      <c r="BO100" s="1102"/>
      <c r="BP100" s="1102"/>
      <c r="BQ100" s="1102"/>
      <c r="BR100" s="1102"/>
      <c r="BS100" s="1102"/>
      <c r="BT100" s="1102"/>
      <c r="BU100" s="1102"/>
      <c r="BV100" s="1102"/>
      <c r="BW100" s="1102"/>
      <c r="BX100" s="1106"/>
      <c r="BY100" s="927">
        <f t="shared" si="50"/>
      </c>
      <c r="BZ100" s="930">
        <f t="shared" si="51"/>
      </c>
    </row>
    <row r="101" spans="49:78" ht="12.75">
      <c r="AW101" s="926">
        <v>38</v>
      </c>
      <c r="AX101" s="1100"/>
      <c r="AY101" s="1110"/>
      <c r="AZ101" s="1110"/>
      <c r="BA101" s="1102"/>
      <c r="BB101" s="1102"/>
      <c r="BC101" s="1102"/>
      <c r="BD101" s="1102"/>
      <c r="BE101" s="1102"/>
      <c r="BF101" s="1102"/>
      <c r="BG101" s="1102"/>
      <c r="BH101" s="1102"/>
      <c r="BI101" s="1102"/>
      <c r="BJ101" s="1102"/>
      <c r="BK101" s="1102"/>
      <c r="BL101" s="1102"/>
      <c r="BM101" s="1102"/>
      <c r="BN101" s="1102"/>
      <c r="BO101" s="1102"/>
      <c r="BP101" s="1102"/>
      <c r="BQ101" s="1102"/>
      <c r="BR101" s="1102"/>
      <c r="BS101" s="1102"/>
      <c r="BT101" s="1102"/>
      <c r="BU101" s="1102"/>
      <c r="BV101" s="1102"/>
      <c r="BW101" s="1102"/>
      <c r="BX101" s="1106"/>
      <c r="BY101" s="927">
        <f t="shared" si="50"/>
      </c>
      <c r="BZ101" s="930">
        <f t="shared" si="51"/>
      </c>
    </row>
    <row r="102" spans="49:78" ht="12.75">
      <c r="AW102" s="926">
        <v>39</v>
      </c>
      <c r="AX102" s="1100"/>
      <c r="AY102" s="1110"/>
      <c r="AZ102" s="1110"/>
      <c r="BA102" s="1102"/>
      <c r="BB102" s="1102"/>
      <c r="BC102" s="1102"/>
      <c r="BD102" s="1102"/>
      <c r="BE102" s="1102"/>
      <c r="BF102" s="1102"/>
      <c r="BG102" s="1102"/>
      <c r="BH102" s="1102"/>
      <c r="BI102" s="1102"/>
      <c r="BJ102" s="1102"/>
      <c r="BK102" s="1102"/>
      <c r="BL102" s="1102"/>
      <c r="BM102" s="1102"/>
      <c r="BN102" s="1102"/>
      <c r="BO102" s="1102"/>
      <c r="BP102" s="1102"/>
      <c r="BQ102" s="1102"/>
      <c r="BR102" s="1102"/>
      <c r="BS102" s="1102"/>
      <c r="BT102" s="1102"/>
      <c r="BU102" s="1102"/>
      <c r="BV102" s="1102"/>
      <c r="BW102" s="1102"/>
      <c r="BX102" s="1106"/>
      <c r="BY102" s="927">
        <f t="shared" si="50"/>
      </c>
      <c r="BZ102" s="930">
        <f t="shared" si="51"/>
      </c>
    </row>
    <row r="103" spans="49:78" ht="13.5" thickBot="1">
      <c r="AW103" s="926">
        <v>40</v>
      </c>
      <c r="AX103" s="1100"/>
      <c r="AY103" s="1110"/>
      <c r="AZ103" s="1110"/>
      <c r="BA103" s="1107"/>
      <c r="BB103" s="1107"/>
      <c r="BC103" s="1107"/>
      <c r="BD103" s="1107"/>
      <c r="BE103" s="1107"/>
      <c r="BF103" s="1107"/>
      <c r="BG103" s="1107"/>
      <c r="BH103" s="1107"/>
      <c r="BI103" s="1107"/>
      <c r="BJ103" s="1107"/>
      <c r="BK103" s="1107"/>
      <c r="BL103" s="1107"/>
      <c r="BM103" s="1107"/>
      <c r="BN103" s="1107"/>
      <c r="BO103" s="1107"/>
      <c r="BP103" s="1107"/>
      <c r="BQ103" s="1107"/>
      <c r="BR103" s="1107"/>
      <c r="BS103" s="1107"/>
      <c r="BT103" s="1107"/>
      <c r="BU103" s="1107"/>
      <c r="BV103" s="1107"/>
      <c r="BW103" s="1107"/>
      <c r="BX103" s="1111"/>
      <c r="BY103" s="928">
        <f t="shared" si="50"/>
      </c>
      <c r="BZ103" s="931">
        <f t="shared" si="51"/>
      </c>
    </row>
    <row r="104" spans="49:78" ht="13.5" customHeight="1" thickBot="1">
      <c r="AW104" s="1164" t="s">
        <v>267</v>
      </c>
      <c r="AX104" s="1165"/>
      <c r="AY104" s="1162" t="s">
        <v>468</v>
      </c>
      <c r="AZ104" s="1163"/>
      <c r="BA104" s="1057">
        <f>IF(SUM(BA64:BA103)=0,"",SUM(BA64:BA103))</f>
      </c>
      <c r="BB104" s="1058">
        <f aca="true" t="shared" si="52" ref="BB104:BX104">IF(SUM(BB64:BB103)=0,"",SUM(BB64:BB103))</f>
      </c>
      <c r="BC104" s="1058">
        <f t="shared" si="52"/>
      </c>
      <c r="BD104" s="1058">
        <f t="shared" si="52"/>
      </c>
      <c r="BE104" s="1058">
        <f t="shared" si="52"/>
      </c>
      <c r="BF104" s="1058">
        <f t="shared" si="52"/>
      </c>
      <c r="BG104" s="1058">
        <f t="shared" si="52"/>
      </c>
      <c r="BH104" s="1058">
        <f t="shared" si="52"/>
      </c>
      <c r="BI104" s="1058">
        <f t="shared" si="52"/>
      </c>
      <c r="BJ104" s="1058">
        <f t="shared" si="52"/>
      </c>
      <c r="BK104" s="1058">
        <f t="shared" si="52"/>
      </c>
      <c r="BL104" s="1058">
        <f t="shared" si="52"/>
      </c>
      <c r="BM104" s="1058">
        <f t="shared" si="52"/>
      </c>
      <c r="BN104" s="1058">
        <f t="shared" si="52"/>
      </c>
      <c r="BO104" s="1058">
        <f t="shared" si="52"/>
      </c>
      <c r="BP104" s="1058">
        <f t="shared" si="52"/>
      </c>
      <c r="BQ104" s="1058">
        <f t="shared" si="52"/>
      </c>
      <c r="BR104" s="1058">
        <f t="shared" si="52"/>
      </c>
      <c r="BS104" s="1058">
        <f t="shared" si="52"/>
      </c>
      <c r="BT104" s="1058">
        <f t="shared" si="52"/>
      </c>
      <c r="BU104" s="1058">
        <f t="shared" si="52"/>
      </c>
      <c r="BV104" s="1058">
        <f t="shared" si="52"/>
      </c>
      <c r="BW104" s="1058">
        <f t="shared" si="52"/>
      </c>
      <c r="BX104" s="1059">
        <f t="shared" si="52"/>
      </c>
      <c r="BY104" s="929">
        <f>SUM(BY64:BY103)</f>
        <v>0</v>
      </c>
      <c r="BZ104" s="932">
        <f>SUM(BZ64:BZ103)</f>
        <v>0</v>
      </c>
    </row>
    <row r="105" spans="49:78" ht="43.5" customHeight="1" thickBot="1">
      <c r="AW105" s="1166"/>
      <c r="AX105" s="1167"/>
      <c r="AY105" s="1098"/>
      <c r="AZ105" s="1099" t="s">
        <v>523</v>
      </c>
      <c r="BA105" s="953">
        <f>IF(BA104="","",BA104*BA60)</f>
      </c>
      <c r="BB105" s="953">
        <f aca="true" t="shared" si="53" ref="BB105:BX105">IF(BB104="","",BB104*BB60)</f>
      </c>
      <c r="BC105" s="953">
        <f t="shared" si="53"/>
      </c>
      <c r="BD105" s="953">
        <f t="shared" si="53"/>
      </c>
      <c r="BE105" s="953">
        <f t="shared" si="53"/>
      </c>
      <c r="BF105" s="953">
        <f t="shared" si="53"/>
      </c>
      <c r="BG105" s="953">
        <f t="shared" si="53"/>
      </c>
      <c r="BH105" s="953">
        <f t="shared" si="53"/>
      </c>
      <c r="BI105" s="953">
        <f t="shared" si="53"/>
      </c>
      <c r="BJ105" s="953">
        <f t="shared" si="53"/>
      </c>
      <c r="BK105" s="953">
        <f t="shared" si="53"/>
      </c>
      <c r="BL105" s="953">
        <f t="shared" si="53"/>
      </c>
      <c r="BM105" s="953">
        <f t="shared" si="53"/>
      </c>
      <c r="BN105" s="953">
        <f t="shared" si="53"/>
      </c>
      <c r="BO105" s="953">
        <f t="shared" si="53"/>
      </c>
      <c r="BP105" s="953">
        <f t="shared" si="53"/>
      </c>
      <c r="BQ105" s="953">
        <f t="shared" si="53"/>
      </c>
      <c r="BR105" s="953">
        <f t="shared" si="53"/>
      </c>
      <c r="BS105" s="953">
        <f t="shared" si="53"/>
      </c>
      <c r="BT105" s="953">
        <f t="shared" si="53"/>
      </c>
      <c r="BU105" s="953">
        <f t="shared" si="53"/>
      </c>
      <c r="BV105" s="953">
        <f t="shared" si="53"/>
      </c>
      <c r="BW105" s="953">
        <f t="shared" si="53"/>
      </c>
      <c r="BX105" s="954">
        <f t="shared" si="53"/>
      </c>
      <c r="BY105" s="1231">
        <f>SUM(BA105:BX105)</f>
        <v>0</v>
      </c>
      <c r="BZ105" s="1232"/>
    </row>
    <row r="108" spans="49:76" ht="12.75">
      <c r="AW108"/>
      <c r="BA108"/>
      <c r="BB108"/>
      <c r="BC108"/>
      <c r="BD108"/>
      <c r="BE108"/>
      <c r="BF108"/>
      <c r="BG108"/>
      <c r="BH108"/>
      <c r="BI108"/>
      <c r="BJ108"/>
      <c r="BK108"/>
      <c r="BL108"/>
      <c r="BM108"/>
      <c r="BN108"/>
      <c r="BO108"/>
      <c r="BP108"/>
      <c r="BQ108"/>
      <c r="BR108"/>
      <c r="BS108"/>
      <c r="BT108"/>
      <c r="BU108"/>
      <c r="BV108"/>
      <c r="BW108"/>
      <c r="BX108"/>
    </row>
    <row r="109" spans="49:76" ht="12.75">
      <c r="AW109"/>
      <c r="BA109"/>
      <c r="BB109"/>
      <c r="BC109"/>
      <c r="BD109"/>
      <c r="BE109"/>
      <c r="BF109"/>
      <c r="BG109"/>
      <c r="BH109"/>
      <c r="BI109"/>
      <c r="BJ109"/>
      <c r="BK109"/>
      <c r="BL109"/>
      <c r="BM109"/>
      <c r="BN109"/>
      <c r="BO109"/>
      <c r="BP109"/>
      <c r="BQ109"/>
      <c r="BR109"/>
      <c r="BS109"/>
      <c r="BT109"/>
      <c r="BU109"/>
      <c r="BV109"/>
      <c r="BW109"/>
      <c r="BX109"/>
    </row>
    <row r="110" spans="49:76" ht="12.75">
      <c r="AW110"/>
      <c r="BA110"/>
      <c r="BB110"/>
      <c r="BC110"/>
      <c r="BD110"/>
      <c r="BE110"/>
      <c r="BF110"/>
      <c r="BG110"/>
      <c r="BH110"/>
      <c r="BI110"/>
      <c r="BJ110"/>
      <c r="BK110"/>
      <c r="BL110"/>
      <c r="BM110"/>
      <c r="BN110"/>
      <c r="BO110"/>
      <c r="BP110"/>
      <c r="BQ110"/>
      <c r="BR110"/>
      <c r="BS110"/>
      <c r="BT110"/>
      <c r="BU110"/>
      <c r="BV110"/>
      <c r="BW110"/>
      <c r="BX110"/>
    </row>
    <row r="111" spans="49:76" ht="12.75">
      <c r="AW111"/>
      <c r="BA111"/>
      <c r="BB111"/>
      <c r="BC111"/>
      <c r="BD111"/>
      <c r="BE111"/>
      <c r="BF111"/>
      <c r="BG111"/>
      <c r="BH111"/>
      <c r="BI111"/>
      <c r="BJ111"/>
      <c r="BK111"/>
      <c r="BL111"/>
      <c r="BM111"/>
      <c r="BN111"/>
      <c r="BO111"/>
      <c r="BP111"/>
      <c r="BQ111"/>
      <c r="BR111"/>
      <c r="BS111"/>
      <c r="BT111"/>
      <c r="BU111"/>
      <c r="BV111"/>
      <c r="BW111"/>
      <c r="BX111"/>
    </row>
    <row r="112" spans="49:76" ht="12.75">
      <c r="AW112"/>
      <c r="BA112"/>
      <c r="BB112"/>
      <c r="BC112"/>
      <c r="BD112"/>
      <c r="BE112"/>
      <c r="BF112"/>
      <c r="BG112"/>
      <c r="BH112"/>
      <c r="BI112"/>
      <c r="BJ112"/>
      <c r="BK112"/>
      <c r="BL112"/>
      <c r="BM112"/>
      <c r="BN112"/>
      <c r="BO112"/>
      <c r="BP112"/>
      <c r="BQ112"/>
      <c r="BR112"/>
      <c r="BS112"/>
      <c r="BT112"/>
      <c r="BU112"/>
      <c r="BV112"/>
      <c r="BW112"/>
      <c r="BX112"/>
    </row>
    <row r="113" spans="49:76" ht="12.75">
      <c r="AW113"/>
      <c r="BA113"/>
      <c r="BB113"/>
      <c r="BC113"/>
      <c r="BD113"/>
      <c r="BE113"/>
      <c r="BF113"/>
      <c r="BG113"/>
      <c r="BH113"/>
      <c r="BI113"/>
      <c r="BJ113"/>
      <c r="BK113"/>
      <c r="BL113"/>
      <c r="BM113"/>
      <c r="BN113"/>
      <c r="BO113"/>
      <c r="BP113"/>
      <c r="BQ113"/>
      <c r="BR113"/>
      <c r="BS113"/>
      <c r="BT113"/>
      <c r="BU113"/>
      <c r="BV113"/>
      <c r="BW113"/>
      <c r="BX113"/>
    </row>
    <row r="114" spans="49:76" ht="12.75">
      <c r="AW114"/>
      <c r="BA114"/>
      <c r="BB114"/>
      <c r="BC114"/>
      <c r="BD114"/>
      <c r="BE114"/>
      <c r="BF114"/>
      <c r="BG114"/>
      <c r="BH114"/>
      <c r="BI114"/>
      <c r="BJ114"/>
      <c r="BK114"/>
      <c r="BL114"/>
      <c r="BM114"/>
      <c r="BN114"/>
      <c r="BO114"/>
      <c r="BP114"/>
      <c r="BQ114"/>
      <c r="BR114"/>
      <c r="BS114"/>
      <c r="BT114"/>
      <c r="BU114"/>
      <c r="BV114"/>
      <c r="BW114"/>
      <c r="BX114"/>
    </row>
    <row r="115" spans="49:76" ht="12.75">
      <c r="AW115"/>
      <c r="BA115"/>
      <c r="BB115"/>
      <c r="BC115"/>
      <c r="BD115"/>
      <c r="BE115"/>
      <c r="BF115"/>
      <c r="BG115"/>
      <c r="BH115"/>
      <c r="BI115"/>
      <c r="BJ115"/>
      <c r="BK115"/>
      <c r="BL115"/>
      <c r="BM115"/>
      <c r="BN115"/>
      <c r="BO115"/>
      <c r="BP115"/>
      <c r="BQ115"/>
      <c r="BR115"/>
      <c r="BS115"/>
      <c r="BT115"/>
      <c r="BU115"/>
      <c r="BV115"/>
      <c r="BW115"/>
      <c r="BX115"/>
    </row>
    <row r="116" spans="49:76" ht="12.75">
      <c r="AW116"/>
      <c r="BA116"/>
      <c r="BB116"/>
      <c r="BC116"/>
      <c r="BD116"/>
      <c r="BE116"/>
      <c r="BF116"/>
      <c r="BG116"/>
      <c r="BH116"/>
      <c r="BI116"/>
      <c r="BJ116"/>
      <c r="BK116"/>
      <c r="BL116"/>
      <c r="BM116"/>
      <c r="BN116"/>
      <c r="BO116"/>
      <c r="BP116"/>
      <c r="BQ116"/>
      <c r="BR116"/>
      <c r="BS116"/>
      <c r="BT116"/>
      <c r="BU116"/>
      <c r="BV116"/>
      <c r="BW116"/>
      <c r="BX116"/>
    </row>
    <row r="117" spans="49:76" ht="12.75">
      <c r="AW117"/>
      <c r="BA117"/>
      <c r="BB117"/>
      <c r="BC117"/>
      <c r="BD117"/>
      <c r="BE117"/>
      <c r="BF117"/>
      <c r="BG117"/>
      <c r="BH117"/>
      <c r="BI117"/>
      <c r="BJ117"/>
      <c r="BK117"/>
      <c r="BL117"/>
      <c r="BM117"/>
      <c r="BN117"/>
      <c r="BO117"/>
      <c r="BP117"/>
      <c r="BQ117"/>
      <c r="BR117"/>
      <c r="BS117"/>
      <c r="BT117"/>
      <c r="BU117"/>
      <c r="BV117"/>
      <c r="BW117"/>
      <c r="BX117"/>
    </row>
    <row r="118" spans="49:76" ht="12.75">
      <c r="AW118"/>
      <c r="BA118"/>
      <c r="BB118"/>
      <c r="BC118"/>
      <c r="BD118"/>
      <c r="BE118"/>
      <c r="BF118"/>
      <c r="BG118"/>
      <c r="BH118"/>
      <c r="BI118"/>
      <c r="BJ118"/>
      <c r="BK118"/>
      <c r="BL118"/>
      <c r="BM118"/>
      <c r="BN118"/>
      <c r="BO118"/>
      <c r="BP118"/>
      <c r="BQ118"/>
      <c r="BR118"/>
      <c r="BS118"/>
      <c r="BT118"/>
      <c r="BU118"/>
      <c r="BV118"/>
      <c r="BW118"/>
      <c r="BX118"/>
    </row>
    <row r="119" spans="49:76" ht="12.75">
      <c r="AW119"/>
      <c r="BA119"/>
      <c r="BB119"/>
      <c r="BC119"/>
      <c r="BD119"/>
      <c r="BE119"/>
      <c r="BF119"/>
      <c r="BG119"/>
      <c r="BH119"/>
      <c r="BI119"/>
      <c r="BJ119"/>
      <c r="BK119"/>
      <c r="BL119"/>
      <c r="BM119"/>
      <c r="BN119"/>
      <c r="BO119"/>
      <c r="BP119"/>
      <c r="BQ119"/>
      <c r="BR119"/>
      <c r="BS119"/>
      <c r="BT119"/>
      <c r="BU119"/>
      <c r="BV119"/>
      <c r="BW119"/>
      <c r="BX119"/>
    </row>
    <row r="120" spans="49:76" ht="12.75">
      <c r="AW120"/>
      <c r="BA120"/>
      <c r="BB120"/>
      <c r="BC120"/>
      <c r="BD120"/>
      <c r="BE120"/>
      <c r="BF120"/>
      <c r="BG120"/>
      <c r="BH120"/>
      <c r="BI120"/>
      <c r="BJ120"/>
      <c r="BK120"/>
      <c r="BL120"/>
      <c r="BM120"/>
      <c r="BN120"/>
      <c r="BO120"/>
      <c r="BP120"/>
      <c r="BQ120"/>
      <c r="BR120"/>
      <c r="BS120"/>
      <c r="BT120"/>
      <c r="BU120"/>
      <c r="BV120"/>
      <c r="BW120"/>
      <c r="BX120"/>
    </row>
    <row r="121" spans="49:76" ht="12.75">
      <c r="AW121"/>
      <c r="BA121"/>
      <c r="BB121"/>
      <c r="BC121"/>
      <c r="BD121"/>
      <c r="BE121"/>
      <c r="BF121"/>
      <c r="BG121"/>
      <c r="BH121"/>
      <c r="BI121"/>
      <c r="BJ121"/>
      <c r="BK121"/>
      <c r="BL121"/>
      <c r="BM121"/>
      <c r="BN121"/>
      <c r="BO121"/>
      <c r="BP121"/>
      <c r="BQ121"/>
      <c r="BR121"/>
      <c r="BS121"/>
      <c r="BT121"/>
      <c r="BU121"/>
      <c r="BV121"/>
      <c r="BW121"/>
      <c r="BX121"/>
    </row>
    <row r="122" spans="49:76" ht="12.75">
      <c r="AW122"/>
      <c r="BA122"/>
      <c r="BB122"/>
      <c r="BC122"/>
      <c r="BD122"/>
      <c r="BE122"/>
      <c r="BF122"/>
      <c r="BG122"/>
      <c r="BH122"/>
      <c r="BI122"/>
      <c r="BJ122"/>
      <c r="BK122"/>
      <c r="BL122"/>
      <c r="BM122"/>
      <c r="BN122"/>
      <c r="BO122"/>
      <c r="BP122"/>
      <c r="BQ122"/>
      <c r="BR122"/>
      <c r="BS122"/>
      <c r="BT122"/>
      <c r="BU122"/>
      <c r="BV122"/>
      <c r="BW122"/>
      <c r="BX122"/>
    </row>
    <row r="123" spans="49:76" ht="12.75">
      <c r="AW123"/>
      <c r="BA123"/>
      <c r="BB123"/>
      <c r="BC123"/>
      <c r="BD123"/>
      <c r="BE123"/>
      <c r="BF123"/>
      <c r="BG123"/>
      <c r="BH123"/>
      <c r="BI123"/>
      <c r="BJ123"/>
      <c r="BK123"/>
      <c r="BL123"/>
      <c r="BM123"/>
      <c r="BN123"/>
      <c r="BO123"/>
      <c r="BP123"/>
      <c r="BQ123"/>
      <c r="BR123"/>
      <c r="BS123"/>
      <c r="BT123"/>
      <c r="BU123"/>
      <c r="BV123"/>
      <c r="BW123"/>
      <c r="BX123"/>
    </row>
    <row r="124" spans="49:76" ht="12.75">
      <c r="AW124"/>
      <c r="BA124"/>
      <c r="BB124"/>
      <c r="BC124"/>
      <c r="BD124"/>
      <c r="BE124"/>
      <c r="BF124"/>
      <c r="BG124"/>
      <c r="BH124"/>
      <c r="BI124"/>
      <c r="BJ124"/>
      <c r="BK124"/>
      <c r="BL124"/>
      <c r="BM124"/>
      <c r="BN124"/>
      <c r="BO124"/>
      <c r="BP124"/>
      <c r="BQ124"/>
      <c r="BR124"/>
      <c r="BS124"/>
      <c r="BT124"/>
      <c r="BU124"/>
      <c r="BV124"/>
      <c r="BW124"/>
      <c r="BX124"/>
    </row>
    <row r="125" spans="49:76" ht="12.75">
      <c r="AW125"/>
      <c r="BA125"/>
      <c r="BB125"/>
      <c r="BC125"/>
      <c r="BD125"/>
      <c r="BE125"/>
      <c r="BF125"/>
      <c r="BG125"/>
      <c r="BH125"/>
      <c r="BI125"/>
      <c r="BJ125"/>
      <c r="BK125"/>
      <c r="BL125"/>
      <c r="BM125"/>
      <c r="BN125"/>
      <c r="BO125"/>
      <c r="BP125"/>
      <c r="BQ125"/>
      <c r="BR125"/>
      <c r="BS125"/>
      <c r="BT125"/>
      <c r="BU125"/>
      <c r="BV125"/>
      <c r="BW125"/>
      <c r="BX125"/>
    </row>
    <row r="126" spans="49:76" ht="12.75">
      <c r="AW126"/>
      <c r="BA126"/>
      <c r="BB126"/>
      <c r="BC126"/>
      <c r="BD126"/>
      <c r="BE126"/>
      <c r="BF126"/>
      <c r="BG126"/>
      <c r="BH126"/>
      <c r="BI126"/>
      <c r="BJ126"/>
      <c r="BK126"/>
      <c r="BL126"/>
      <c r="BM126"/>
      <c r="BN126"/>
      <c r="BO126"/>
      <c r="BP126"/>
      <c r="BQ126"/>
      <c r="BR126"/>
      <c r="BS126"/>
      <c r="BT126"/>
      <c r="BU126"/>
      <c r="BV126"/>
      <c r="BW126"/>
      <c r="BX126"/>
    </row>
    <row r="127" spans="49:76" ht="12.75">
      <c r="AW127"/>
      <c r="BA127"/>
      <c r="BB127"/>
      <c r="BC127"/>
      <c r="BD127"/>
      <c r="BE127"/>
      <c r="BF127"/>
      <c r="BG127"/>
      <c r="BH127"/>
      <c r="BI127"/>
      <c r="BJ127"/>
      <c r="BK127"/>
      <c r="BL127"/>
      <c r="BM127"/>
      <c r="BN127"/>
      <c r="BO127"/>
      <c r="BP127"/>
      <c r="BQ127"/>
      <c r="BR127"/>
      <c r="BS127"/>
      <c r="BT127"/>
      <c r="BU127"/>
      <c r="BV127"/>
      <c r="BW127"/>
      <c r="BX127"/>
    </row>
    <row r="128" spans="49:76" ht="12.75">
      <c r="AW128"/>
      <c r="BA128"/>
      <c r="BB128"/>
      <c r="BC128"/>
      <c r="BD128"/>
      <c r="BE128"/>
      <c r="BF128"/>
      <c r="BG128"/>
      <c r="BH128"/>
      <c r="BI128"/>
      <c r="BJ128"/>
      <c r="BK128"/>
      <c r="BL128"/>
      <c r="BM128"/>
      <c r="BN128"/>
      <c r="BO128"/>
      <c r="BP128"/>
      <c r="BQ128"/>
      <c r="BR128"/>
      <c r="BS128"/>
      <c r="BT128"/>
      <c r="BU128"/>
      <c r="BV128"/>
      <c r="BW128"/>
      <c r="BX128"/>
    </row>
    <row r="129" spans="49:76" ht="12.75">
      <c r="AW129"/>
      <c r="BA129"/>
      <c r="BB129"/>
      <c r="BC129"/>
      <c r="BD129"/>
      <c r="BE129"/>
      <c r="BF129"/>
      <c r="BG129"/>
      <c r="BH129"/>
      <c r="BI129"/>
      <c r="BJ129"/>
      <c r="BK129"/>
      <c r="BL129"/>
      <c r="BM129"/>
      <c r="BN129"/>
      <c r="BO129"/>
      <c r="BP129"/>
      <c r="BQ129"/>
      <c r="BR129"/>
      <c r="BS129"/>
      <c r="BT129"/>
      <c r="BU129"/>
      <c r="BV129"/>
      <c r="BW129"/>
      <c r="BX129"/>
    </row>
  </sheetData>
  <mergeCells count="90">
    <mergeCell ref="BE60:BE62"/>
    <mergeCell ref="BZ60:BZ63"/>
    <mergeCell ref="BQ60:BQ62"/>
    <mergeCell ref="BR60:BR62"/>
    <mergeCell ref="BS60:BS62"/>
    <mergeCell ref="BT60:BT62"/>
    <mergeCell ref="BI60:BI62"/>
    <mergeCell ref="BM60:BM62"/>
    <mergeCell ref="BN60:BN62"/>
    <mergeCell ref="BY60:BY63"/>
    <mergeCell ref="BA60:BA62"/>
    <mergeCell ref="BB60:BB62"/>
    <mergeCell ref="BC60:BC62"/>
    <mergeCell ref="BD60:BD62"/>
    <mergeCell ref="T7:T11"/>
    <mergeCell ref="AX60:AY60"/>
    <mergeCell ref="AZ60:AZ62"/>
    <mergeCell ref="AX61:AY61"/>
    <mergeCell ref="AX62:AY62"/>
    <mergeCell ref="BY105:BZ105"/>
    <mergeCell ref="BW57:BW59"/>
    <mergeCell ref="BS57:BS59"/>
    <mergeCell ref="BT57:BT59"/>
    <mergeCell ref="BU57:BU59"/>
    <mergeCell ref="BV57:BV59"/>
    <mergeCell ref="BU60:BU62"/>
    <mergeCell ref="BV60:BV62"/>
    <mergeCell ref="BW60:BW62"/>
    <mergeCell ref="BX60:BX62"/>
    <mergeCell ref="BQ57:BQ59"/>
    <mergeCell ref="BR57:BR59"/>
    <mergeCell ref="BX57:BX59"/>
    <mergeCell ref="BY57:BZ59"/>
    <mergeCell ref="BF60:BF62"/>
    <mergeCell ref="BO60:BO62"/>
    <mergeCell ref="BP60:BP62"/>
    <mergeCell ref="BK60:BK62"/>
    <mergeCell ref="BL60:BL62"/>
    <mergeCell ref="BG60:BG62"/>
    <mergeCell ref="BH60:BH62"/>
    <mergeCell ref="BJ60:BJ62"/>
    <mergeCell ref="BO57:BO59"/>
    <mergeCell ref="BP57:BP59"/>
    <mergeCell ref="BG57:BG59"/>
    <mergeCell ref="BH57:BH59"/>
    <mergeCell ref="BI57:BI59"/>
    <mergeCell ref="BJ57:BJ59"/>
    <mergeCell ref="BM57:BM59"/>
    <mergeCell ref="BN57:BN59"/>
    <mergeCell ref="BK57:BK59"/>
    <mergeCell ref="BL57:BL59"/>
    <mergeCell ref="BC57:BC59"/>
    <mergeCell ref="BD57:BD59"/>
    <mergeCell ref="BE57:BE59"/>
    <mergeCell ref="BF57:BF59"/>
    <mergeCell ref="BA57:BA59"/>
    <mergeCell ref="BB57:BB59"/>
    <mergeCell ref="A14:A15"/>
    <mergeCell ref="L14:M14"/>
    <mergeCell ref="AX59:AY59"/>
    <mergeCell ref="AZ57:AZ59"/>
    <mergeCell ref="AX57:AY57"/>
    <mergeCell ref="AX58:AY58"/>
    <mergeCell ref="G13:H13"/>
    <mergeCell ref="K13:K14"/>
    <mergeCell ref="G14:H14"/>
    <mergeCell ref="F14:F15"/>
    <mergeCell ref="G12:H12"/>
    <mergeCell ref="G9:H9"/>
    <mergeCell ref="G10:H10"/>
    <mergeCell ref="G11:H11"/>
    <mergeCell ref="Y4:Z4"/>
    <mergeCell ref="Y5:Z5"/>
    <mergeCell ref="Y6:Z6"/>
    <mergeCell ref="L13:P13"/>
    <mergeCell ref="L10:M10"/>
    <mergeCell ref="L11:M11"/>
    <mergeCell ref="O10:P10"/>
    <mergeCell ref="O11:P11"/>
    <mergeCell ref="O12:P12"/>
    <mergeCell ref="L12:M12"/>
    <mergeCell ref="AA4:AF4"/>
    <mergeCell ref="AA5:AF5"/>
    <mergeCell ref="AA6:AF6"/>
    <mergeCell ref="AG4:AH4"/>
    <mergeCell ref="AI4:AN4"/>
    <mergeCell ref="AG5:AH5"/>
    <mergeCell ref="AI5:AN5"/>
    <mergeCell ref="AG6:AH6"/>
    <mergeCell ref="AI6:AN6"/>
  </mergeCells>
  <printOptions horizontalCentered="1" verticalCentered="1"/>
  <pageMargins left="0.5" right="0.5" top="0.5" bottom="0.68" header="0.25" footer="0.5"/>
  <pageSetup fitToHeight="1" fitToWidth="1" horizontalDpi="600" verticalDpi="600" orientation="landscape" scale="65" r:id="rId4"/>
  <headerFooter alignWithMargins="0">
    <oddFooter>&amp;L&amp;F&amp;C&amp;A&amp;R&amp;D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R89"/>
  <sheetViews>
    <sheetView workbookViewId="0" topLeftCell="A32">
      <selection activeCell="C59" sqref="C59"/>
    </sheetView>
  </sheetViews>
  <sheetFormatPr defaultColWidth="9.140625" defaultRowHeight="12.75"/>
  <cols>
    <col min="1" max="1" width="36.7109375" style="77" customWidth="1"/>
    <col min="2" max="2" width="0.42578125" style="228" hidden="1" customWidth="1"/>
    <col min="3" max="5" width="13.7109375" style="229" customWidth="1"/>
    <col min="6" max="6" width="13.7109375" style="97" customWidth="1"/>
    <col min="7" max="7" width="50.7109375" style="770" customWidth="1"/>
    <col min="8" max="9" width="9.8515625" style="0" customWidth="1"/>
    <col min="10" max="10" width="6.57421875" style="25" customWidth="1"/>
    <col min="11" max="16384" width="5.57421875" style="71" customWidth="1"/>
  </cols>
  <sheetData>
    <row r="1" spans="1:9" s="5" customFormat="1" ht="19.5" customHeight="1">
      <c r="A1" s="601" t="s">
        <v>305</v>
      </c>
      <c r="B1" s="602"/>
      <c r="C1" s="603" t="s">
        <v>229</v>
      </c>
      <c r="D1" s="647"/>
      <c r="E1" s="648"/>
      <c r="F1" s="649"/>
      <c r="G1" s="778"/>
      <c r="H1"/>
      <c r="I1"/>
    </row>
    <row r="2" spans="1:9" s="5" customFormat="1" ht="13.5" customHeight="1">
      <c r="A2" s="604"/>
      <c r="B2" s="600"/>
      <c r="C2" s="605" t="s">
        <v>230</v>
      </c>
      <c r="D2" s="777"/>
      <c r="E2" s="650"/>
      <c r="F2" s="651" t="s">
        <v>306</v>
      </c>
      <c r="G2" s="779"/>
      <c r="H2"/>
      <c r="I2"/>
    </row>
    <row r="3" spans="1:9" s="5" customFormat="1" ht="13.5" customHeight="1" thickBot="1">
      <c r="A3" s="606"/>
      <c r="B3" s="607"/>
      <c r="C3" s="608" t="s">
        <v>231</v>
      </c>
      <c r="D3" s="652"/>
      <c r="E3" s="653"/>
      <c r="F3" s="654"/>
      <c r="G3" s="780"/>
      <c r="H3"/>
      <c r="I3"/>
    </row>
    <row r="4" spans="1:10" ht="16.5" thickBot="1">
      <c r="A4" s="781" t="s">
        <v>282</v>
      </c>
      <c r="B4" s="339"/>
      <c r="C4" s="224" t="s">
        <v>307</v>
      </c>
      <c r="D4" s="224" t="s">
        <v>308</v>
      </c>
      <c r="E4" s="224" t="s">
        <v>309</v>
      </c>
      <c r="F4" s="224" t="s">
        <v>310</v>
      </c>
      <c r="G4" s="749"/>
      <c r="J4"/>
    </row>
    <row r="5" spans="1:18" s="322" customFormat="1" ht="39" customHeight="1" thickBot="1">
      <c r="A5" s="371" t="s">
        <v>311</v>
      </c>
      <c r="B5" s="338"/>
      <c r="C5" s="321"/>
      <c r="D5" s="321"/>
      <c r="E5" s="321"/>
      <c r="F5" s="321"/>
      <c r="G5" s="750"/>
      <c r="H5"/>
      <c r="I5"/>
      <c r="J5"/>
      <c r="K5"/>
      <c r="L5"/>
      <c r="M5"/>
      <c r="N5"/>
      <c r="O5"/>
      <c r="P5"/>
      <c r="Q5"/>
      <c r="R5"/>
    </row>
    <row r="6" spans="1:18" ht="12.75">
      <c r="A6" s="199" t="s">
        <v>312</v>
      </c>
      <c r="B6" s="206"/>
      <c r="C6" s="207"/>
      <c r="D6" s="208" t="s">
        <v>313</v>
      </c>
      <c r="E6" s="208" t="s">
        <v>313</v>
      </c>
      <c r="F6" s="208" t="s">
        <v>313</v>
      </c>
      <c r="G6" s="771"/>
      <c r="J6"/>
      <c r="K6"/>
      <c r="L6"/>
      <c r="M6"/>
      <c r="N6"/>
      <c r="O6"/>
      <c r="P6"/>
      <c r="Q6"/>
      <c r="R6"/>
    </row>
    <row r="7" spans="1:18" ht="12.75">
      <c r="A7" s="77" t="s">
        <v>527</v>
      </c>
      <c r="B7" s="209"/>
      <c r="C7" s="210"/>
      <c r="D7" s="208" t="s">
        <v>313</v>
      </c>
      <c r="E7" s="208" t="s">
        <v>313</v>
      </c>
      <c r="F7" s="208" t="s">
        <v>313</v>
      </c>
      <c r="G7" s="771"/>
      <c r="J7"/>
      <c r="K7"/>
      <c r="L7"/>
      <c r="M7"/>
      <c r="N7"/>
      <c r="O7"/>
      <c r="P7"/>
      <c r="Q7"/>
      <c r="R7"/>
    </row>
    <row r="8" spans="1:18" ht="12.75">
      <c r="A8" s="77" t="s">
        <v>528</v>
      </c>
      <c r="B8" s="209"/>
      <c r="C8" s="323">
        <v>1</v>
      </c>
      <c r="D8" s="323">
        <v>1</v>
      </c>
      <c r="E8" s="323">
        <v>1</v>
      </c>
      <c r="F8" s="323">
        <v>1</v>
      </c>
      <c r="G8" s="772" t="s">
        <v>314</v>
      </c>
      <c r="J8"/>
      <c r="K8"/>
      <c r="L8"/>
      <c r="M8"/>
      <c r="N8"/>
      <c r="O8"/>
      <c r="P8"/>
      <c r="Q8"/>
      <c r="R8"/>
    </row>
    <row r="9" spans="1:18" ht="12.75">
      <c r="A9" s="77" t="s">
        <v>526</v>
      </c>
      <c r="B9" s="209"/>
      <c r="C9" s="210"/>
      <c r="D9" s="210"/>
      <c r="E9" s="210"/>
      <c r="F9" s="210"/>
      <c r="G9" s="751"/>
      <c r="J9"/>
      <c r="K9"/>
      <c r="L9"/>
      <c r="M9"/>
      <c r="N9"/>
      <c r="O9"/>
      <c r="P9"/>
      <c r="Q9"/>
      <c r="R9"/>
    </row>
    <row r="10" spans="1:18" ht="13.5" thickBot="1">
      <c r="A10" s="77" t="s">
        <v>315</v>
      </c>
      <c r="B10" s="209"/>
      <c r="C10" s="326">
        <v>1</v>
      </c>
      <c r="D10" s="326">
        <v>1</v>
      </c>
      <c r="E10" s="326">
        <v>1</v>
      </c>
      <c r="F10" s="326">
        <v>1</v>
      </c>
      <c r="G10" s="773" t="s">
        <v>316</v>
      </c>
      <c r="J10"/>
      <c r="K10"/>
      <c r="L10"/>
      <c r="M10"/>
      <c r="N10"/>
      <c r="O10"/>
      <c r="P10"/>
      <c r="Q10"/>
      <c r="R10"/>
    </row>
    <row r="11" spans="1:18" ht="15.75" thickBot="1">
      <c r="A11" s="367" t="s">
        <v>317</v>
      </c>
      <c r="B11" s="337"/>
      <c r="C11" s="98"/>
      <c r="D11" s="98"/>
      <c r="E11" s="98"/>
      <c r="F11" s="98"/>
      <c r="G11" s="375"/>
      <c r="J11"/>
      <c r="K11"/>
      <c r="L11"/>
      <c r="M11"/>
      <c r="N11"/>
      <c r="O11"/>
      <c r="P11"/>
      <c r="Q11"/>
      <c r="R11"/>
    </row>
    <row r="12" spans="1:18" ht="12.75">
      <c r="A12" s="199" t="s">
        <v>318</v>
      </c>
      <c r="B12" s="206"/>
      <c r="C12" s="211"/>
      <c r="D12" s="208" t="s">
        <v>313</v>
      </c>
      <c r="E12" s="208" t="s">
        <v>313</v>
      </c>
      <c r="F12" s="208" t="s">
        <v>313</v>
      </c>
      <c r="G12" s="771"/>
      <c r="J12"/>
      <c r="K12"/>
      <c r="L12"/>
      <c r="M12"/>
      <c r="N12"/>
      <c r="O12"/>
      <c r="P12"/>
      <c r="Q12"/>
      <c r="R12"/>
    </row>
    <row r="13" spans="1:18" ht="12.75">
      <c r="A13" s="77" t="s">
        <v>319</v>
      </c>
      <c r="B13" s="209"/>
      <c r="C13" s="323">
        <v>0</v>
      </c>
      <c r="D13" s="323">
        <v>0</v>
      </c>
      <c r="E13" s="323">
        <v>0</v>
      </c>
      <c r="F13" s="323">
        <v>0</v>
      </c>
      <c r="G13" s="772" t="s">
        <v>320</v>
      </c>
      <c r="J13"/>
      <c r="K13"/>
      <c r="L13"/>
      <c r="M13"/>
      <c r="N13"/>
      <c r="O13"/>
      <c r="P13"/>
      <c r="Q13"/>
      <c r="R13"/>
    </row>
    <row r="14" spans="1:18" ht="12.75">
      <c r="A14" s="77" t="s">
        <v>321</v>
      </c>
      <c r="B14" s="209"/>
      <c r="C14" s="323">
        <v>1</v>
      </c>
      <c r="D14" s="323">
        <v>1</v>
      </c>
      <c r="E14" s="323">
        <v>1</v>
      </c>
      <c r="F14" s="323">
        <v>1</v>
      </c>
      <c r="G14" s="772" t="s">
        <v>287</v>
      </c>
      <c r="J14"/>
      <c r="K14"/>
      <c r="L14"/>
      <c r="M14"/>
      <c r="N14"/>
      <c r="O14"/>
      <c r="P14"/>
      <c r="Q14"/>
      <c r="R14"/>
    </row>
    <row r="15" spans="1:18" ht="12.75">
      <c r="A15" s="77" t="s">
        <v>322</v>
      </c>
      <c r="B15" s="209"/>
      <c r="C15" s="323">
        <v>1</v>
      </c>
      <c r="D15" s="323">
        <v>1</v>
      </c>
      <c r="E15" s="323">
        <v>1</v>
      </c>
      <c r="F15" s="323">
        <v>1</v>
      </c>
      <c r="G15" s="772" t="s">
        <v>287</v>
      </c>
      <c r="J15"/>
      <c r="K15"/>
      <c r="L15"/>
      <c r="M15"/>
      <c r="N15"/>
      <c r="O15"/>
      <c r="P15"/>
      <c r="Q15"/>
      <c r="R15"/>
    </row>
    <row r="16" spans="1:18" ht="12.75">
      <c r="A16" s="77" t="s">
        <v>323</v>
      </c>
      <c r="B16" s="209"/>
      <c r="C16" s="323">
        <v>1</v>
      </c>
      <c r="D16" s="323">
        <v>1</v>
      </c>
      <c r="E16" s="323">
        <v>1</v>
      </c>
      <c r="F16" s="323">
        <v>1</v>
      </c>
      <c r="G16" s="772" t="s">
        <v>287</v>
      </c>
      <c r="J16"/>
      <c r="K16"/>
      <c r="L16"/>
      <c r="M16"/>
      <c r="N16"/>
      <c r="O16"/>
      <c r="P16"/>
      <c r="Q16"/>
      <c r="R16"/>
    </row>
    <row r="17" spans="1:18" ht="12.75">
      <c r="A17" s="77" t="s">
        <v>489</v>
      </c>
      <c r="B17" s="209"/>
      <c r="C17" s="327"/>
      <c r="D17" s="327"/>
      <c r="E17" s="327"/>
      <c r="F17" s="327"/>
      <c r="G17" s="772"/>
      <c r="J17"/>
      <c r="K17"/>
      <c r="L17"/>
      <c r="M17"/>
      <c r="N17"/>
      <c r="O17"/>
      <c r="P17"/>
      <c r="Q17"/>
      <c r="R17"/>
    </row>
    <row r="18" spans="1:18" ht="12.75">
      <c r="A18" s="77" t="s">
        <v>491</v>
      </c>
      <c r="B18" s="209"/>
      <c r="C18" s="323">
        <v>10</v>
      </c>
      <c r="D18" s="323">
        <v>10</v>
      </c>
      <c r="E18" s="323">
        <v>10</v>
      </c>
      <c r="F18" s="323">
        <v>10</v>
      </c>
      <c r="G18" s="772" t="s">
        <v>287</v>
      </c>
      <c r="J18"/>
      <c r="K18"/>
      <c r="L18"/>
      <c r="M18"/>
      <c r="N18"/>
      <c r="O18"/>
      <c r="P18"/>
      <c r="Q18"/>
      <c r="R18"/>
    </row>
    <row r="19" spans="1:18" ht="12.75">
      <c r="A19" s="77" t="s">
        <v>324</v>
      </c>
      <c r="B19" s="209"/>
      <c r="C19" s="325">
        <v>0</v>
      </c>
      <c r="D19" s="325">
        <v>0</v>
      </c>
      <c r="E19" s="325">
        <v>0</v>
      </c>
      <c r="F19" s="325">
        <v>0</v>
      </c>
      <c r="G19" s="774" t="s">
        <v>287</v>
      </c>
      <c r="J19"/>
      <c r="K19"/>
      <c r="L19"/>
      <c r="M19"/>
      <c r="N19"/>
      <c r="O19"/>
      <c r="P19"/>
      <c r="Q19"/>
      <c r="R19"/>
    </row>
    <row r="20" spans="1:18" ht="12.75">
      <c r="A20" s="77" t="s">
        <v>325</v>
      </c>
      <c r="B20" s="209"/>
      <c r="C20" s="323">
        <v>1.4</v>
      </c>
      <c r="D20" s="323">
        <v>1.4</v>
      </c>
      <c r="E20" s="323">
        <v>1.4</v>
      </c>
      <c r="F20" s="323">
        <v>1.4</v>
      </c>
      <c r="G20" s="772" t="s">
        <v>287</v>
      </c>
      <c r="J20"/>
      <c r="K20"/>
      <c r="L20"/>
      <c r="M20"/>
      <c r="N20"/>
      <c r="O20"/>
      <c r="P20"/>
      <c r="Q20"/>
      <c r="R20"/>
    </row>
    <row r="21" spans="1:18" ht="12.75">
      <c r="A21" s="77" t="s">
        <v>326</v>
      </c>
      <c r="B21" s="209"/>
      <c r="C21" s="214">
        <f>C14*C15*C16</f>
        <v>1</v>
      </c>
      <c r="D21" s="214">
        <f>D14*D15*D16</f>
        <v>1</v>
      </c>
      <c r="E21" s="214">
        <f>E14*E15*E16</f>
        <v>1</v>
      </c>
      <c r="F21" s="214">
        <f>F14*F15*F16</f>
        <v>1</v>
      </c>
      <c r="G21" s="752"/>
      <c r="J21"/>
      <c r="K21"/>
      <c r="L21"/>
      <c r="M21"/>
      <c r="N21"/>
      <c r="O21"/>
      <c r="P21"/>
      <c r="Q21"/>
      <c r="R21"/>
    </row>
    <row r="22" spans="1:18" ht="12.75">
      <c r="A22" s="77" t="s">
        <v>490</v>
      </c>
      <c r="B22" s="209"/>
      <c r="C22" s="214">
        <f>C7/C8</f>
        <v>0</v>
      </c>
      <c r="D22" s="214" t="e">
        <f>$C$22*($C$10/D10)*($C$21/D21)*($C$17/D17)</f>
        <v>#DIV/0!</v>
      </c>
      <c r="E22" s="214" t="e">
        <f>$C$22*($C$10/E10)*($C$21/E21)*($C$17/E17)</f>
        <v>#DIV/0!</v>
      </c>
      <c r="F22" s="214" t="e">
        <f>$C$22*($C$10/F10)*($C$21/F21)*($C$17/F17)</f>
        <v>#DIV/0!</v>
      </c>
      <c r="G22" s="752"/>
      <c r="J22"/>
      <c r="K22"/>
      <c r="L22"/>
      <c r="M22"/>
      <c r="N22"/>
      <c r="O22"/>
      <c r="P22"/>
      <c r="Q22"/>
      <c r="R22"/>
    </row>
    <row r="23" spans="1:18" ht="12.75">
      <c r="A23" s="77" t="s">
        <v>527</v>
      </c>
      <c r="B23" s="209"/>
      <c r="C23" s="214">
        <f>C7</f>
        <v>0</v>
      </c>
      <c r="D23" s="214" t="e">
        <f>D22*D8</f>
        <v>#DIV/0!</v>
      </c>
      <c r="E23" s="214" t="e">
        <f>E22*E8</f>
        <v>#DIV/0!</v>
      </c>
      <c r="F23" s="214" t="e">
        <f>F22*F8</f>
        <v>#DIV/0!</v>
      </c>
      <c r="G23" s="752"/>
      <c r="J23"/>
      <c r="K23"/>
      <c r="L23"/>
      <c r="M23"/>
      <c r="N23"/>
      <c r="O23"/>
      <c r="P23"/>
      <c r="Q23"/>
      <c r="R23"/>
    </row>
    <row r="24" spans="1:18" ht="12.75">
      <c r="A24" s="200" t="s">
        <v>488</v>
      </c>
      <c r="B24" s="215"/>
      <c r="C24" s="374">
        <f>C14*C17*C22</f>
        <v>0</v>
      </c>
      <c r="D24" s="374" t="e">
        <f>D14*D17*D22</f>
        <v>#DIV/0!</v>
      </c>
      <c r="E24" s="374" t="e">
        <f>E14*E17*E22</f>
        <v>#DIV/0!</v>
      </c>
      <c r="F24" s="374" t="e">
        <f>F14*F17*F22</f>
        <v>#DIV/0!</v>
      </c>
      <c r="G24" s="775"/>
      <c r="J24"/>
      <c r="K24"/>
      <c r="L24"/>
      <c r="M24"/>
      <c r="N24"/>
      <c r="O24"/>
      <c r="P24"/>
      <c r="Q24"/>
      <c r="R24"/>
    </row>
    <row r="25" spans="1:18" ht="12.75">
      <c r="A25" s="77" t="s">
        <v>327</v>
      </c>
      <c r="B25" s="209"/>
      <c r="C25" s="214">
        <f>C22*C21*C17</f>
        <v>0</v>
      </c>
      <c r="D25" s="214">
        <f>+$C$25*($C$10)/(D10)</f>
        <v>0</v>
      </c>
      <c r="E25" s="214">
        <f>+$C$25*($C$10)/(E10)</f>
        <v>0</v>
      </c>
      <c r="F25" s="214">
        <f>+$C$25*($C$10)/(F10)</f>
        <v>0</v>
      </c>
      <c r="G25" s="752"/>
      <c r="J25"/>
      <c r="K25"/>
      <c r="L25"/>
      <c r="M25"/>
      <c r="N25"/>
      <c r="O25"/>
      <c r="P25"/>
      <c r="Q25"/>
      <c r="R25"/>
    </row>
    <row r="26" spans="1:18" ht="12.75" customHeight="1">
      <c r="A26" s="77" t="s">
        <v>328</v>
      </c>
      <c r="B26" s="209"/>
      <c r="C26" s="214">
        <f>C18*C21*C22+C13</f>
        <v>0</v>
      </c>
      <c r="D26" s="214" t="e">
        <f>D18*D21*D22+D13</f>
        <v>#DIV/0!</v>
      </c>
      <c r="E26" s="214" t="e">
        <f>E18*E21*E22+E13</f>
        <v>#DIV/0!</v>
      </c>
      <c r="F26" s="214" t="e">
        <f>F18*F21*F22+F13</f>
        <v>#DIV/0!</v>
      </c>
      <c r="G26" s="752"/>
      <c r="J26"/>
      <c r="K26"/>
      <c r="L26"/>
      <c r="M26"/>
      <c r="N26"/>
      <c r="O26"/>
      <c r="P26"/>
      <c r="Q26"/>
      <c r="R26"/>
    </row>
    <row r="27" spans="1:18" ht="12.75">
      <c r="A27" s="77" t="s">
        <v>329</v>
      </c>
      <c r="B27" s="209"/>
      <c r="C27" s="213">
        <f>(C20-1)*C19+1</f>
        <v>1</v>
      </c>
      <c r="D27" s="213">
        <f>(D20-1)*D19+1</f>
        <v>1</v>
      </c>
      <c r="E27" s="213">
        <f>(E20-1)*E19+1</f>
        <v>1</v>
      </c>
      <c r="F27" s="213">
        <f>(F20-1)*F19+1</f>
        <v>1</v>
      </c>
      <c r="G27" s="753"/>
      <c r="J27"/>
      <c r="K27"/>
      <c r="L27"/>
      <c r="M27"/>
      <c r="N27"/>
      <c r="O27"/>
      <c r="P27"/>
      <c r="Q27"/>
      <c r="R27"/>
    </row>
    <row r="28" spans="1:18" ht="12.75">
      <c r="A28" s="200" t="s">
        <v>330</v>
      </c>
      <c r="B28" s="215"/>
      <c r="C28" s="324">
        <v>1</v>
      </c>
      <c r="D28" s="213" t="e">
        <f>(D26/$C$26)*(D27/$C$27)</f>
        <v>#DIV/0!</v>
      </c>
      <c r="E28" s="213" t="e">
        <f>(E26/$C$26)*(E27/$C$27)</f>
        <v>#DIV/0!</v>
      </c>
      <c r="F28" s="213" t="e">
        <f>(F26/$C$26)*(F27/$C$27)</f>
        <v>#DIV/0!</v>
      </c>
      <c r="G28" s="753"/>
      <c r="J28"/>
      <c r="K28"/>
      <c r="L28"/>
      <c r="M28"/>
      <c r="N28"/>
      <c r="O28"/>
      <c r="P28"/>
      <c r="Q28"/>
      <c r="R28"/>
    </row>
    <row r="29" spans="1:18" ht="12.75">
      <c r="A29" s="200" t="s">
        <v>271</v>
      </c>
      <c r="B29" s="215"/>
      <c r="C29" s="344">
        <f>C12*C6</f>
        <v>0</v>
      </c>
      <c r="D29" s="341" t="e">
        <f>D28*$C$29</f>
        <v>#DIV/0!</v>
      </c>
      <c r="E29" s="341" t="e">
        <f>E28*$C$29</f>
        <v>#DIV/0!</v>
      </c>
      <c r="F29" s="341" t="e">
        <f>F28*$C$29</f>
        <v>#DIV/0!</v>
      </c>
      <c r="G29" s="754"/>
      <c r="J29"/>
      <c r="K29"/>
      <c r="L29"/>
      <c r="M29"/>
      <c r="N29"/>
      <c r="O29"/>
      <c r="P29"/>
      <c r="Q29"/>
      <c r="R29"/>
    </row>
    <row r="30" spans="1:18" ht="13.5" thickBot="1">
      <c r="A30" s="201" t="s">
        <v>331</v>
      </c>
      <c r="B30" s="216"/>
      <c r="C30" s="343" t="s">
        <v>332</v>
      </c>
      <c r="D30" s="343" t="e">
        <f>+D29-$C$29</f>
        <v>#DIV/0!</v>
      </c>
      <c r="E30" s="343" t="e">
        <f>+E29-$C$29</f>
        <v>#DIV/0!</v>
      </c>
      <c r="F30" s="343" t="e">
        <f>+F29-$C$29</f>
        <v>#DIV/0!</v>
      </c>
      <c r="G30" s="755"/>
      <c r="J30"/>
      <c r="K30"/>
      <c r="L30"/>
      <c r="M30"/>
      <c r="N30"/>
      <c r="O30"/>
      <c r="P30"/>
      <c r="Q30"/>
      <c r="R30"/>
    </row>
    <row r="31" spans="1:18" ht="15">
      <c r="A31" s="368" t="s">
        <v>335</v>
      </c>
      <c r="B31" s="336"/>
      <c r="C31" s="218"/>
      <c r="D31" s="219"/>
      <c r="E31" s="219"/>
      <c r="F31" s="219"/>
      <c r="G31" s="756"/>
      <c r="J31"/>
      <c r="K31"/>
      <c r="L31"/>
      <c r="M31"/>
      <c r="N31"/>
      <c r="O31"/>
      <c r="P31"/>
      <c r="Q31"/>
      <c r="R31"/>
    </row>
    <row r="32" spans="1:18" ht="12.75">
      <c r="A32" s="200" t="s">
        <v>333</v>
      </c>
      <c r="B32" s="215"/>
      <c r="C32" s="217"/>
      <c r="D32" s="208" t="s">
        <v>313</v>
      </c>
      <c r="E32" s="208" t="s">
        <v>313</v>
      </c>
      <c r="F32" s="208" t="s">
        <v>313</v>
      </c>
      <c r="G32" s="772"/>
      <c r="J32"/>
      <c r="K32"/>
      <c r="L32"/>
      <c r="M32"/>
      <c r="N32"/>
      <c r="O32"/>
      <c r="P32"/>
      <c r="Q32"/>
      <c r="R32"/>
    </row>
    <row r="33" spans="1:18" ht="12.75">
      <c r="A33" s="200" t="s">
        <v>334</v>
      </c>
      <c r="B33" s="215"/>
      <c r="C33" s="373">
        <v>1</v>
      </c>
      <c r="D33" s="373">
        <v>1</v>
      </c>
      <c r="E33" s="373">
        <v>1</v>
      </c>
      <c r="F33" s="373">
        <v>1</v>
      </c>
      <c r="G33" s="776" t="s">
        <v>287</v>
      </c>
      <c r="J33"/>
      <c r="K33"/>
      <c r="L33"/>
      <c r="M33"/>
      <c r="N33"/>
      <c r="O33"/>
      <c r="P33"/>
      <c r="Q33"/>
      <c r="R33"/>
    </row>
    <row r="34" spans="1:18" ht="12.75">
      <c r="A34" s="200" t="s">
        <v>336</v>
      </c>
      <c r="B34" s="215"/>
      <c r="C34" s="210"/>
      <c r="D34" s="210"/>
      <c r="E34" s="210"/>
      <c r="F34" s="210"/>
      <c r="G34" s="751"/>
      <c r="J34"/>
      <c r="K34"/>
      <c r="L34"/>
      <c r="M34"/>
      <c r="N34"/>
      <c r="O34"/>
      <c r="P34"/>
      <c r="Q34"/>
      <c r="R34"/>
    </row>
    <row r="35" spans="1:18" ht="12.75">
      <c r="A35" s="200" t="s">
        <v>337</v>
      </c>
      <c r="B35" s="215"/>
      <c r="C35" s="341">
        <f>+$C$6*$C$32*C34</f>
        <v>0</v>
      </c>
      <c r="D35" s="341">
        <f>+$C$35*(D$33/($C$33-0.00000001))*(D34/($C$34+0.00000001))</f>
        <v>0</v>
      </c>
      <c r="E35" s="341">
        <f>+$C$35*(E$33/($C$33-0.00000001))*(E34/($C$34+0.00000001))</f>
        <v>0</v>
      </c>
      <c r="F35" s="341">
        <f>+$C$35*(F$33/($C$33-0.00000001))*(F34/($C$34+0.00000001))</f>
        <v>0</v>
      </c>
      <c r="G35" s="754"/>
      <c r="J35"/>
      <c r="K35"/>
      <c r="L35"/>
      <c r="M35"/>
      <c r="N35"/>
      <c r="O35"/>
      <c r="P35"/>
      <c r="Q35"/>
      <c r="R35"/>
    </row>
    <row r="36" spans="1:18" ht="12.75">
      <c r="A36" s="200" t="s">
        <v>338</v>
      </c>
      <c r="B36" s="215"/>
      <c r="C36" s="220"/>
      <c r="D36" s="220"/>
      <c r="E36" s="220"/>
      <c r="F36" s="220"/>
      <c r="G36" s="757"/>
      <c r="J36"/>
      <c r="K36"/>
      <c r="L36"/>
      <c r="M36"/>
      <c r="N36"/>
      <c r="O36"/>
      <c r="P36"/>
      <c r="Q36"/>
      <c r="R36"/>
    </row>
    <row r="37" spans="1:18" ht="12.75">
      <c r="A37" s="200" t="s">
        <v>339</v>
      </c>
      <c r="B37" s="215"/>
      <c r="C37" s="340">
        <f>+$C$32*$C$6*C36</f>
        <v>0</v>
      </c>
      <c r="D37" s="341" t="e">
        <f>+$C$37*(D$33/($C$33-0.0000001))*(D36/($C36+0.0000001))*(D22/$C$22)</f>
        <v>#DIV/0!</v>
      </c>
      <c r="E37" s="341" t="e">
        <f>+$C$37*(E$33/($C$33-0.0000001))*(E36/($C36+0.0000001))*(E22/$C$22)</f>
        <v>#DIV/0!</v>
      </c>
      <c r="F37" s="341" t="e">
        <f>+$C$37*(F$33/($C$33-0.0000001))*(F36/($C36+0.0000001))*(F22/$C$22)</f>
        <v>#DIV/0!</v>
      </c>
      <c r="G37" s="754"/>
      <c r="J37"/>
      <c r="K37"/>
      <c r="L37"/>
      <c r="M37"/>
      <c r="N37"/>
      <c r="O37"/>
      <c r="P37"/>
      <c r="Q37"/>
      <c r="R37"/>
    </row>
    <row r="38" spans="1:18" ht="12.75">
      <c r="A38" s="200" t="s">
        <v>340</v>
      </c>
      <c r="B38" s="215"/>
      <c r="C38" s="373">
        <v>1</v>
      </c>
      <c r="D38" s="373">
        <v>1</v>
      </c>
      <c r="E38" s="373">
        <v>1</v>
      </c>
      <c r="F38" s="373">
        <v>1</v>
      </c>
      <c r="G38" s="776" t="s">
        <v>287</v>
      </c>
      <c r="J38"/>
      <c r="K38"/>
      <c r="L38"/>
      <c r="M38"/>
      <c r="N38"/>
      <c r="O38"/>
      <c r="P38"/>
      <c r="Q38"/>
      <c r="R38"/>
    </row>
    <row r="39" spans="1:18" ht="12.75">
      <c r="A39" s="200" t="s">
        <v>341</v>
      </c>
      <c r="B39" s="215"/>
      <c r="C39" s="340">
        <f>+$C$32*$C$6*C38</f>
        <v>0</v>
      </c>
      <c r="D39" s="341" t="e">
        <f>+$C$39*(D$33/($C$33-0.0000001))*D38/($C38+0.0000001)*(D24/$C$24)</f>
        <v>#DIV/0!</v>
      </c>
      <c r="E39" s="341" t="e">
        <f>+$C$39*(E$33/($C$33-0.0000001))*E38/($C38+0.0000001)*(E24/$C$24)</f>
        <v>#DIV/0!</v>
      </c>
      <c r="F39" s="341" t="e">
        <f>+$C$39*(F$33/($C$33-0.0000001))*F38/($C38+0.0000001)*(F24/$C$24)</f>
        <v>#DIV/0!</v>
      </c>
      <c r="G39" s="754"/>
      <c r="J39"/>
      <c r="K39"/>
      <c r="L39"/>
      <c r="M39"/>
      <c r="N39"/>
      <c r="O39"/>
      <c r="P39"/>
      <c r="Q39"/>
      <c r="R39"/>
    </row>
    <row r="40" spans="1:18" ht="12.75">
      <c r="A40" s="200" t="s">
        <v>342</v>
      </c>
      <c r="B40" s="215"/>
      <c r="C40" s="340">
        <f>+C35+C39+C37</f>
        <v>0</v>
      </c>
      <c r="D40" s="340" t="e">
        <f>+D35+D39+D37</f>
        <v>#DIV/0!</v>
      </c>
      <c r="E40" s="340" t="e">
        <f>+E35+E39+E37</f>
        <v>#DIV/0!</v>
      </c>
      <c r="F40" s="340" t="e">
        <f>+F35+F39+F37</f>
        <v>#DIV/0!</v>
      </c>
      <c r="G40" s="758"/>
      <c r="J40"/>
      <c r="K40"/>
      <c r="L40"/>
      <c r="M40"/>
      <c r="N40"/>
      <c r="O40"/>
      <c r="P40"/>
      <c r="Q40"/>
      <c r="R40"/>
    </row>
    <row r="41" spans="1:18" ht="13.5" thickBot="1">
      <c r="A41" s="201" t="s">
        <v>343</v>
      </c>
      <c r="B41" s="216"/>
      <c r="C41" s="342" t="s">
        <v>332</v>
      </c>
      <c r="D41" s="343" t="e">
        <f>+D40-$C40</f>
        <v>#DIV/0!</v>
      </c>
      <c r="E41" s="343" t="e">
        <f>+E40-$C40</f>
        <v>#DIV/0!</v>
      </c>
      <c r="F41" s="343" t="e">
        <f>+F40-$C40</f>
        <v>#DIV/0!</v>
      </c>
      <c r="G41" s="755"/>
      <c r="J41"/>
      <c r="K41"/>
      <c r="L41"/>
      <c r="M41"/>
      <c r="N41"/>
      <c r="O41"/>
      <c r="P41"/>
      <c r="Q41"/>
      <c r="R41"/>
    </row>
    <row r="42" spans="1:18" ht="15">
      <c r="A42" s="369" t="s">
        <v>344</v>
      </c>
      <c r="B42" s="336"/>
      <c r="C42" s="221"/>
      <c r="D42" s="222"/>
      <c r="E42" s="222"/>
      <c r="F42" s="222"/>
      <c r="G42" s="759"/>
      <c r="J42"/>
      <c r="K42"/>
      <c r="L42"/>
      <c r="M42"/>
      <c r="N42"/>
      <c r="O42"/>
      <c r="P42"/>
      <c r="Q42"/>
      <c r="R42"/>
    </row>
    <row r="43" spans="1:18" ht="12.75">
      <c r="A43" s="200" t="s">
        <v>334</v>
      </c>
      <c r="B43" s="215"/>
      <c r="C43" s="373"/>
      <c r="D43" s="373"/>
      <c r="E43" s="373"/>
      <c r="F43" s="373"/>
      <c r="G43" s="776"/>
      <c r="J43"/>
      <c r="K43"/>
      <c r="L43"/>
      <c r="M43"/>
      <c r="N43"/>
      <c r="O43"/>
      <c r="P43"/>
      <c r="Q43"/>
      <c r="R43"/>
    </row>
    <row r="44" spans="1:18" ht="12.75">
      <c r="A44" s="200" t="s">
        <v>345</v>
      </c>
      <c r="B44" s="215"/>
      <c r="C44" s="329"/>
      <c r="D44" s="329"/>
      <c r="E44" s="329"/>
      <c r="F44" s="329"/>
      <c r="G44" s="760"/>
      <c r="J44"/>
      <c r="K44"/>
      <c r="L44"/>
      <c r="M44"/>
      <c r="N44"/>
      <c r="O44"/>
      <c r="P44"/>
      <c r="Q44"/>
      <c r="R44"/>
    </row>
    <row r="45" spans="1:18" ht="12.75">
      <c r="A45" s="200" t="s">
        <v>346</v>
      </c>
      <c r="B45" s="215"/>
      <c r="C45" s="340">
        <f>+C$43*C44</f>
        <v>0</v>
      </c>
      <c r="D45" s="340">
        <f>+D$43*D44</f>
        <v>0</v>
      </c>
      <c r="E45" s="340">
        <f>+E$43*E44</f>
        <v>0</v>
      </c>
      <c r="F45" s="340">
        <f>+F$43*F44</f>
        <v>0</v>
      </c>
      <c r="G45" s="758"/>
      <c r="J45"/>
      <c r="K45"/>
      <c r="L45"/>
      <c r="M45"/>
      <c r="N45"/>
      <c r="O45"/>
      <c r="P45"/>
      <c r="Q45"/>
      <c r="R45"/>
    </row>
    <row r="46" spans="1:18" ht="12.75">
      <c r="A46" s="200" t="s">
        <v>347</v>
      </c>
      <c r="B46" s="215"/>
      <c r="C46" s="329"/>
      <c r="D46" s="329"/>
      <c r="E46" s="329"/>
      <c r="F46" s="329"/>
      <c r="G46" s="760"/>
      <c r="J46"/>
      <c r="K46"/>
      <c r="L46"/>
      <c r="M46"/>
      <c r="N46"/>
      <c r="O46"/>
      <c r="P46"/>
      <c r="Q46"/>
      <c r="R46"/>
    </row>
    <row r="47" spans="1:18" ht="12.75">
      <c r="A47" s="200" t="s">
        <v>348</v>
      </c>
      <c r="B47" s="215"/>
      <c r="C47" s="340">
        <f>+C43*C46*C22</f>
        <v>0</v>
      </c>
      <c r="D47" s="340" t="e">
        <f>+D43*D46*D22</f>
        <v>#DIV/0!</v>
      </c>
      <c r="E47" s="340" t="e">
        <f>+E43*E46*E22</f>
        <v>#DIV/0!</v>
      </c>
      <c r="F47" s="340" t="e">
        <f>+F43*F46*F22</f>
        <v>#DIV/0!</v>
      </c>
      <c r="G47" s="758"/>
      <c r="J47"/>
      <c r="K47"/>
      <c r="L47"/>
      <c r="M47"/>
      <c r="N47"/>
      <c r="O47"/>
      <c r="P47"/>
      <c r="Q47"/>
      <c r="R47"/>
    </row>
    <row r="48" spans="1:18" ht="12.75">
      <c r="A48" s="200" t="s">
        <v>349</v>
      </c>
      <c r="B48" s="215"/>
      <c r="C48" s="329"/>
      <c r="D48" s="329"/>
      <c r="E48" s="329"/>
      <c r="F48" s="329"/>
      <c r="G48" s="760"/>
      <c r="J48"/>
      <c r="K48"/>
      <c r="L48"/>
      <c r="M48"/>
      <c r="N48"/>
      <c r="O48"/>
      <c r="P48"/>
      <c r="Q48"/>
      <c r="R48"/>
    </row>
    <row r="49" spans="1:13" ht="12.75">
      <c r="A49" s="200" t="s">
        <v>350</v>
      </c>
      <c r="B49" s="215"/>
      <c r="C49" s="340">
        <f>+C43*C48*C24</f>
        <v>0</v>
      </c>
      <c r="D49" s="340" t="e">
        <f>+D43*D48*D24</f>
        <v>#DIV/0!</v>
      </c>
      <c r="E49" s="340" t="e">
        <f>+E43*E48*E24</f>
        <v>#DIV/0!</v>
      </c>
      <c r="F49" s="340" t="e">
        <f>+F43*F48*F24</f>
        <v>#DIV/0!</v>
      </c>
      <c r="G49" s="758"/>
      <c r="K49"/>
      <c r="L49"/>
      <c r="M49"/>
    </row>
    <row r="50" spans="1:13" ht="12.75">
      <c r="A50" s="200" t="s">
        <v>351</v>
      </c>
      <c r="B50" s="215"/>
      <c r="C50" s="340">
        <f>C45+C49+C47</f>
        <v>0</v>
      </c>
      <c r="D50" s="340" t="e">
        <f>D45+D49+D47</f>
        <v>#DIV/0!</v>
      </c>
      <c r="E50" s="340" t="e">
        <f>E45+E49+E47</f>
        <v>#DIV/0!</v>
      </c>
      <c r="F50" s="340" t="e">
        <f>F45+F49+F47</f>
        <v>#DIV/0!</v>
      </c>
      <c r="G50" s="758"/>
      <c r="K50"/>
      <c r="L50"/>
      <c r="M50"/>
    </row>
    <row r="51" spans="1:13" ht="13.5" thickBot="1">
      <c r="A51" s="201" t="s">
        <v>352</v>
      </c>
      <c r="B51" s="216"/>
      <c r="C51" s="342" t="s">
        <v>332</v>
      </c>
      <c r="D51" s="343" t="e">
        <f>+D50-$C50</f>
        <v>#DIV/0!</v>
      </c>
      <c r="E51" s="343" t="e">
        <f>+E50-$C50</f>
        <v>#DIV/0!</v>
      </c>
      <c r="F51" s="343" t="e">
        <f>+F50-$C50</f>
        <v>#DIV/0!</v>
      </c>
      <c r="G51" s="755"/>
      <c r="K51"/>
      <c r="L51"/>
      <c r="M51"/>
    </row>
    <row r="52" spans="1:7" ht="15.75" thickBot="1">
      <c r="A52" s="370" t="s">
        <v>353</v>
      </c>
      <c r="B52" s="223"/>
      <c r="C52" s="334"/>
      <c r="D52" s="331"/>
      <c r="E52" s="331"/>
      <c r="F52" s="331"/>
      <c r="G52" s="761"/>
    </row>
    <row r="53" spans="1:7" ht="12.75">
      <c r="A53" s="77" t="s">
        <v>354</v>
      </c>
      <c r="B53" s="209"/>
      <c r="C53" s="329"/>
      <c r="D53" s="330"/>
      <c r="E53" s="330"/>
      <c r="F53" s="330"/>
      <c r="G53" s="762"/>
    </row>
    <row r="54" spans="1:7" ht="13.5" thickBot="1">
      <c r="A54" s="202" t="s">
        <v>355</v>
      </c>
      <c r="B54" s="209"/>
      <c r="C54" s="332" t="s">
        <v>332</v>
      </c>
      <c r="D54" s="343">
        <f>+D53-$C53</f>
        <v>0</v>
      </c>
      <c r="E54" s="343">
        <f>+E53-$C53</f>
        <v>0</v>
      </c>
      <c r="F54" s="343">
        <f>+F53-$C53</f>
        <v>0</v>
      </c>
      <c r="G54" s="755"/>
    </row>
    <row r="55" spans="1:7" ht="15.75" thickBot="1">
      <c r="A55" s="370" t="s">
        <v>356</v>
      </c>
      <c r="B55" s="205"/>
      <c r="C55" s="334"/>
      <c r="D55" s="331"/>
      <c r="E55" s="331"/>
      <c r="F55" s="331"/>
      <c r="G55" s="761"/>
    </row>
    <row r="56" spans="1:7" ht="12.75">
      <c r="A56" s="77" t="s">
        <v>357</v>
      </c>
      <c r="B56" s="209"/>
      <c r="C56" s="329"/>
      <c r="D56" s="330"/>
      <c r="E56" s="330"/>
      <c r="F56" s="330"/>
      <c r="G56" s="762"/>
    </row>
    <row r="57" spans="1:7" ht="12.75">
      <c r="A57" s="77" t="s">
        <v>358</v>
      </c>
      <c r="B57" s="209"/>
      <c r="C57" s="329"/>
      <c r="D57" s="330"/>
      <c r="E57" s="330"/>
      <c r="F57" s="330"/>
      <c r="G57" s="762"/>
    </row>
    <row r="58" spans="1:7" ht="12.75">
      <c r="A58" s="77" t="s">
        <v>359</v>
      </c>
      <c r="B58" s="209"/>
      <c r="C58" s="329"/>
      <c r="D58" s="330"/>
      <c r="E58" s="330"/>
      <c r="F58" s="330"/>
      <c r="G58" s="762"/>
    </row>
    <row r="59" spans="1:7" ht="12.75">
      <c r="A59" s="77" t="s">
        <v>360</v>
      </c>
      <c r="B59" s="209"/>
      <c r="C59" s="340">
        <f>C$56+C$57*C$22+C$58*C$22*C$9</f>
        <v>0</v>
      </c>
      <c r="D59" s="340" t="e">
        <f>D$56+D$57*D$22+D$58*D$22*D$9</f>
        <v>#DIV/0!</v>
      </c>
      <c r="E59" s="340" t="e">
        <f>E$56+E$57*E$22+E$58*E$22*E$9</f>
        <v>#DIV/0!</v>
      </c>
      <c r="F59" s="340" t="e">
        <f>F$56+F$57*F$22+F$58*F$22*F$9</f>
        <v>#DIV/0!</v>
      </c>
      <c r="G59" s="758"/>
    </row>
    <row r="60" spans="1:7" ht="13.5" thickBot="1">
      <c r="A60" s="77" t="s">
        <v>361</v>
      </c>
      <c r="B60" s="209"/>
      <c r="C60" s="342" t="s">
        <v>332</v>
      </c>
      <c r="D60" s="343" t="e">
        <f>+D59-$C59</f>
        <v>#DIV/0!</v>
      </c>
      <c r="E60" s="343" t="e">
        <f>+E59-$C59</f>
        <v>#DIV/0!</v>
      </c>
      <c r="F60" s="343" t="e">
        <f>+F59-$C59</f>
        <v>#DIV/0!</v>
      </c>
      <c r="G60" s="755"/>
    </row>
    <row r="61" spans="1:7" ht="15.75" thickBot="1">
      <c r="A61" s="370" t="s">
        <v>362</v>
      </c>
      <c r="B61" s="223"/>
      <c r="C61" s="224"/>
      <c r="D61" s="225"/>
      <c r="E61" s="225"/>
      <c r="F61" s="225"/>
      <c r="G61" s="763"/>
    </row>
    <row r="62" spans="1:7" ht="12.75">
      <c r="A62" s="77" t="s">
        <v>363</v>
      </c>
      <c r="B62" s="209"/>
      <c r="C62" s="655"/>
      <c r="D62" s="655"/>
      <c r="E62" s="655"/>
      <c r="F62" s="655"/>
      <c r="G62" s="764"/>
    </row>
    <row r="63" spans="1:7" ht="12.75">
      <c r="A63" s="77" t="s">
        <v>364</v>
      </c>
      <c r="B63" s="209"/>
      <c r="C63" s="329"/>
      <c r="D63" s="330"/>
      <c r="E63" s="330"/>
      <c r="F63" s="330"/>
      <c r="G63" s="762"/>
    </row>
    <row r="64" spans="1:7" ht="12.75">
      <c r="A64" s="77" t="s">
        <v>365</v>
      </c>
      <c r="B64" s="209"/>
      <c r="C64" s="329"/>
      <c r="D64" s="330"/>
      <c r="E64" s="330"/>
      <c r="F64" s="330"/>
      <c r="G64" s="762"/>
    </row>
    <row r="65" spans="1:7" ht="12.75">
      <c r="A65" s="77" t="s">
        <v>366</v>
      </c>
      <c r="B65" s="209"/>
      <c r="C65" s="329"/>
      <c r="D65" s="330"/>
      <c r="E65" s="330"/>
      <c r="F65" s="330"/>
      <c r="G65" s="762"/>
    </row>
    <row r="66" spans="1:7" ht="12.75">
      <c r="A66" s="77" t="s">
        <v>367</v>
      </c>
      <c r="B66" s="209"/>
      <c r="C66" s="340">
        <f>C62*$C$6+C63+C64*C$22+C65*C$26</f>
        <v>0</v>
      </c>
      <c r="D66" s="340" t="e">
        <f>D62*($C$6+D30+D41+D51+D54+D60)+D63+D64*D$22+D65*D$26</f>
        <v>#DIV/0!</v>
      </c>
      <c r="E66" s="340" t="e">
        <f>E62*($C$6+E30+E41+E51+E54+E60)+E63+E64*E$22+E65*E$26</f>
        <v>#DIV/0!</v>
      </c>
      <c r="F66" s="340" t="e">
        <f>F62*($C$6+F30+F41+F51+F54+F60)+F63+F64*F$22+F65*F$26</f>
        <v>#DIV/0!</v>
      </c>
      <c r="G66" s="758"/>
    </row>
    <row r="67" spans="1:7" ht="13.5" thickBot="1">
      <c r="A67" s="77" t="s">
        <v>368</v>
      </c>
      <c r="B67" s="209"/>
      <c r="C67" s="342" t="s">
        <v>332</v>
      </c>
      <c r="D67" s="343" t="e">
        <f>+D66-$C66</f>
        <v>#DIV/0!</v>
      </c>
      <c r="E67" s="343" t="e">
        <f>+E66-$C66</f>
        <v>#DIV/0!</v>
      </c>
      <c r="F67" s="343" t="e">
        <f>+F66-$C66</f>
        <v>#DIV/0!</v>
      </c>
      <c r="G67" s="755"/>
    </row>
    <row r="68" spans="1:7" ht="15.75" thickBot="1">
      <c r="A68" s="370" t="s">
        <v>369</v>
      </c>
      <c r="B68" s="338"/>
      <c r="C68" s="333"/>
      <c r="D68" s="333"/>
      <c r="E68" s="333"/>
      <c r="F68" s="334"/>
      <c r="G68" s="765"/>
    </row>
    <row r="69" spans="1:7" ht="12.75">
      <c r="A69" s="203" t="s">
        <v>492</v>
      </c>
      <c r="B69" s="209"/>
      <c r="C69" s="1179"/>
      <c r="D69" s="1179"/>
      <c r="E69" s="1179"/>
      <c r="F69" s="1179"/>
      <c r="G69" s="766"/>
    </row>
    <row r="70" spans="1:7" ht="12.75">
      <c r="A70" s="77" t="s">
        <v>370</v>
      </c>
      <c r="B70" s="209"/>
      <c r="C70" s="335"/>
      <c r="D70" s="335"/>
      <c r="E70" s="335"/>
      <c r="F70" s="335"/>
      <c r="G70" s="767"/>
    </row>
    <row r="71" spans="1:7" ht="12.75">
      <c r="A71" s="77" t="s">
        <v>371</v>
      </c>
      <c r="B71" s="209"/>
      <c r="C71" s="335"/>
      <c r="D71" s="335"/>
      <c r="E71" s="335"/>
      <c r="F71" s="335"/>
      <c r="G71" s="767"/>
    </row>
    <row r="72" spans="1:7" ht="12.75">
      <c r="A72" s="77" t="s">
        <v>372</v>
      </c>
      <c r="B72" s="209"/>
      <c r="C72" s="329"/>
      <c r="D72" s="330"/>
      <c r="E72" s="330"/>
      <c r="F72" s="330"/>
      <c r="G72" s="762"/>
    </row>
    <row r="73" spans="1:7" ht="12.75">
      <c r="A73" s="77" t="s">
        <v>373</v>
      </c>
      <c r="B73" s="209"/>
      <c r="C73" s="340">
        <f>+C69*C76+C70+C71*C$22+C72*C$26</f>
        <v>0</v>
      </c>
      <c r="D73" s="340" t="e">
        <f>+D69*D76+D70+D71*D$22+D72*D$26</f>
        <v>#DIV/0!</v>
      </c>
      <c r="E73" s="340" t="e">
        <f>+E69*E76+E70+E71*E$22+E72*E$26</f>
        <v>#DIV/0!</v>
      </c>
      <c r="F73" s="340" t="e">
        <f>+F69*F76+F70+F71*F$22+F72*F$26</f>
        <v>#DIV/0!</v>
      </c>
      <c r="G73" s="758"/>
    </row>
    <row r="74" spans="1:7" ht="13.5" thickBot="1">
      <c r="A74" s="202" t="s">
        <v>374</v>
      </c>
      <c r="B74" s="209"/>
      <c r="C74" s="342" t="s">
        <v>332</v>
      </c>
      <c r="D74" s="343" t="e">
        <f>+D73-$C73</f>
        <v>#DIV/0!</v>
      </c>
      <c r="E74" s="343" t="e">
        <f>+E73-$C73</f>
        <v>#DIV/0!</v>
      </c>
      <c r="F74" s="343" t="e">
        <f>+F73-$C73</f>
        <v>#DIV/0!</v>
      </c>
      <c r="G74" s="755"/>
    </row>
    <row r="75" spans="1:7" ht="15.75" thickBot="1">
      <c r="A75" s="370" t="s">
        <v>375</v>
      </c>
      <c r="B75" s="223"/>
      <c r="C75" s="224"/>
      <c r="D75" s="224"/>
      <c r="E75" s="224"/>
      <c r="F75" s="224"/>
      <c r="G75" s="749"/>
    </row>
    <row r="76" spans="1:7" ht="12.75">
      <c r="A76" s="199" t="s">
        <v>312</v>
      </c>
      <c r="B76" s="206"/>
      <c r="C76" s="345">
        <f>+C6</f>
        <v>0</v>
      </c>
      <c r="D76" s="346" t="e">
        <f>+$C$6+D30+D41+D51+D54+D60+D67</f>
        <v>#DIV/0!</v>
      </c>
      <c r="E76" s="346" t="e">
        <f>+$C$6+E30+E41+E51+E54+E60+E67</f>
        <v>#DIV/0!</v>
      </c>
      <c r="F76" s="346" t="e">
        <f>+$C$6+F30+F41+F51+F54+F60+F67</f>
        <v>#DIV/0!</v>
      </c>
      <c r="G76" s="768"/>
    </row>
    <row r="77" spans="1:7" ht="12.75">
      <c r="A77" s="77" t="s">
        <v>376</v>
      </c>
      <c r="B77" s="209"/>
      <c r="C77" s="340" t="s">
        <v>332</v>
      </c>
      <c r="D77" s="340" t="e">
        <f>+D76-$C$76</f>
        <v>#DIV/0!</v>
      </c>
      <c r="E77" s="340" t="e">
        <f>+E76-$C$76</f>
        <v>#DIV/0!</v>
      </c>
      <c r="F77" s="340" t="e">
        <f>+F76-$C$76</f>
        <v>#DIV/0!</v>
      </c>
      <c r="G77" s="758"/>
    </row>
    <row r="78" spans="1:7" ht="12.75">
      <c r="A78" s="77" t="s">
        <v>272</v>
      </c>
      <c r="B78" s="209"/>
      <c r="C78" s="340">
        <f>+C76+C73</f>
        <v>0</v>
      </c>
      <c r="D78" s="340" t="e">
        <f>+D76+D73</f>
        <v>#DIV/0!</v>
      </c>
      <c r="E78" s="340" t="e">
        <f>+E76+E73</f>
        <v>#DIV/0!</v>
      </c>
      <c r="F78" s="340" t="e">
        <f>+F76+F73</f>
        <v>#DIV/0!</v>
      </c>
      <c r="G78" s="758"/>
    </row>
    <row r="79" spans="1:7" ht="13.5" thickBot="1">
      <c r="A79" s="77" t="s">
        <v>377</v>
      </c>
      <c r="B79" s="209"/>
      <c r="C79" s="340" t="s">
        <v>332</v>
      </c>
      <c r="D79" s="340" t="e">
        <f>+D78-$C$78</f>
        <v>#DIV/0!</v>
      </c>
      <c r="E79" s="340" t="e">
        <f>+E78-$C$78</f>
        <v>#DIV/0!</v>
      </c>
      <c r="F79" s="340" t="e">
        <f>+F78-$C$78</f>
        <v>#DIV/0!</v>
      </c>
      <c r="G79" s="758"/>
    </row>
    <row r="80" spans="1:18" s="322" customFormat="1" ht="39" customHeight="1" thickBot="1">
      <c r="A80" s="371" t="s">
        <v>378</v>
      </c>
      <c r="B80" s="338"/>
      <c r="C80" s="321">
        <f>IF(C5="","",C5)</f>
      </c>
      <c r="D80" s="321">
        <f>IF(D5="","",D5)</f>
      </c>
      <c r="E80" s="321">
        <f>IF(E5="","",E5)</f>
      </c>
      <c r="F80" s="321">
        <f>IF(F5="","",F5)</f>
      </c>
      <c r="G80" s="750"/>
      <c r="H80"/>
      <c r="I80"/>
      <c r="J80"/>
      <c r="K80"/>
      <c r="L80"/>
      <c r="M80"/>
      <c r="N80"/>
      <c r="O80"/>
      <c r="P80"/>
      <c r="Q80"/>
      <c r="R80"/>
    </row>
    <row r="81" spans="1:18" ht="12.75">
      <c r="A81" s="77" t="s">
        <v>526</v>
      </c>
      <c r="B81" s="209"/>
      <c r="C81" s="210">
        <f>IF(C9="","",C9)</f>
      </c>
      <c r="D81" s="210">
        <f>IF(D9="","",D9)</f>
      </c>
      <c r="E81" s="210">
        <f>IF(E9="","",E9)</f>
      </c>
      <c r="F81" s="210">
        <f>IF(F9="","",F9)</f>
      </c>
      <c r="G81" s="751"/>
      <c r="J81"/>
      <c r="K81"/>
      <c r="L81"/>
      <c r="M81"/>
      <c r="N81"/>
      <c r="O81"/>
      <c r="P81"/>
      <c r="Q81"/>
      <c r="R81"/>
    </row>
    <row r="82" spans="1:18" ht="12.75">
      <c r="A82" s="77" t="s">
        <v>527</v>
      </c>
      <c r="B82" s="209"/>
      <c r="C82" s="214">
        <f>IF(C23="","",C23)</f>
        <v>0</v>
      </c>
      <c r="D82" s="214" t="e">
        <f>IF(D23="","",D23)</f>
        <v>#DIV/0!</v>
      </c>
      <c r="E82" s="214" t="e">
        <f>IF(E23="","",E23)</f>
        <v>#DIV/0!</v>
      </c>
      <c r="F82" s="214" t="e">
        <f>IF(F23="","",F23)</f>
        <v>#DIV/0!</v>
      </c>
      <c r="G82" s="752"/>
      <c r="J82"/>
      <c r="K82"/>
      <c r="L82"/>
      <c r="M82"/>
      <c r="N82"/>
      <c r="O82"/>
      <c r="P82"/>
      <c r="Q82"/>
      <c r="R82"/>
    </row>
    <row r="83" spans="1:18" ht="12.75">
      <c r="A83" s="200" t="s">
        <v>271</v>
      </c>
      <c r="B83" s="215"/>
      <c r="C83" s="344">
        <f>IF(C29="","",C29)</f>
        <v>0</v>
      </c>
      <c r="D83" s="344" t="e">
        <f>IF(D29="","",D29)</f>
        <v>#DIV/0!</v>
      </c>
      <c r="E83" s="344" t="e">
        <f>IF(E29="","",E29)</f>
        <v>#DIV/0!</v>
      </c>
      <c r="F83" s="344" t="e">
        <f>IF(F29="","",F29)</f>
        <v>#DIV/0!</v>
      </c>
      <c r="G83" s="754"/>
      <c r="J83"/>
      <c r="K83"/>
      <c r="L83"/>
      <c r="M83"/>
      <c r="N83"/>
      <c r="O83"/>
      <c r="P83"/>
      <c r="Q83"/>
      <c r="R83"/>
    </row>
    <row r="84" spans="1:7" ht="13.5" thickBot="1">
      <c r="A84" s="77" t="s">
        <v>272</v>
      </c>
      <c r="B84" s="209"/>
      <c r="C84" s="340">
        <f>IF(C78="","",C78)</f>
        <v>0</v>
      </c>
      <c r="D84" s="340" t="e">
        <f>IF(D78="","",D78)</f>
        <v>#DIV/0!</v>
      </c>
      <c r="E84" s="340" t="e">
        <f>IF(E78="","",E78)</f>
        <v>#DIV/0!</v>
      </c>
      <c r="F84" s="340" t="e">
        <f>IF(F78="","",F78)</f>
        <v>#DIV/0!</v>
      </c>
      <c r="G84" s="758"/>
    </row>
    <row r="85" spans="1:7" ht="12.75">
      <c r="A85" s="328" t="s">
        <v>379</v>
      </c>
      <c r="B85" s="85"/>
      <c r="C85" s="120"/>
      <c r="D85" s="120"/>
      <c r="E85" s="120"/>
      <c r="F85" s="120"/>
      <c r="G85" s="769"/>
    </row>
    <row r="86" ht="12.75">
      <c r="F86" s="1"/>
    </row>
    <row r="87" ht="12.75">
      <c r="F87" s="1"/>
    </row>
    <row r="88" ht="12.75">
      <c r="F88" s="1"/>
    </row>
    <row r="89" ht="12.75">
      <c r="F89" s="1"/>
    </row>
  </sheetData>
  <printOptions horizontalCentered="1" verticalCentered="1"/>
  <pageMargins left="0.75" right="0.4" top="0.36" bottom="0.51" header="0.17" footer="0.3"/>
  <pageSetup fitToHeight="1" fitToWidth="1" horizontalDpi="600" verticalDpi="600" orientation="portrait" r:id="rId4"/>
  <headerFooter alignWithMargins="0">
    <oddFooter>&amp;L&amp;"Arial,Bold"&amp;11&amp;F&amp;C&amp;"Arial,Bold"&amp;11&amp;A&amp;R&amp;"Arial,Bold"&amp;11&amp;D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Congestion Cost Program</dc:title>
  <dc:subject/>
  <dc:creator>Robert I. Carr</dc:creator>
  <cp:keywords/>
  <dc:description>This is primary program for the standard case of one-way traffic in one or more lanes.</dc:description>
  <cp:lastModifiedBy>R. I. Carr</cp:lastModifiedBy>
  <cp:lastPrinted>1997-09-09T20:28:55Z</cp:lastPrinted>
  <dcterms:created xsi:type="dcterms:W3CDTF">1996-07-02T12:21:13Z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